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1640" yWindow="15" windowWidth="12450" windowHeight="9915" tabRatio="767"/>
  </bookViews>
  <sheets>
    <sheet name="表紙" sheetId="10" r:id="rId1"/>
    <sheet name="1.定格エネルギー消費量" sheetId="13" r:id="rId2"/>
    <sheet name="3.立上り性能A" sheetId="4" r:id="rId3"/>
    <sheet name="3.立上り性能B" sheetId="11" r:id="rId4"/>
    <sheet name="3.立上り性能C" sheetId="14" r:id="rId5"/>
    <sheet name="4.処理能力" sheetId="5" r:id="rId6"/>
    <sheet name="5.エネルギー消費量" sheetId="6" r:id="rId7"/>
    <sheet name="6.給水量または給湯量" sheetId="7" r:id="rId8"/>
  </sheets>
  <definedNames>
    <definedName name="_xlnm._FilterDatabase" localSheetId="0" hidden="1">表紙!$N$16:$P$16</definedName>
    <definedName name="_xlnm.Print_Area" localSheetId="1">'1.定格エネルギー消費量'!$A$2:$K$53,'1.定格エネルギー消費量'!$A$55:$K$104,'1.定格エネルギー消費量'!$A$106:$K$156</definedName>
    <definedName name="_xlnm.Print_Area" localSheetId="2">'3.立上り性能A'!$A$2:$K$55,'3.立上り性能A'!$A$57:$K$107</definedName>
    <definedName name="_xlnm.Print_Area" localSheetId="3">'3.立上り性能B'!$A$2:$J$54,'3.立上り性能B'!$A$56:$J$105</definedName>
    <definedName name="_xlnm.Print_Area" localSheetId="4">'3.立上り性能C'!$A$2:$J$54,'3.立上り性能C'!$A$56:$J$103</definedName>
    <definedName name="_xlnm.Print_Area" localSheetId="5">'4.処理能力'!$A$2:$J$53,'4.処理能力'!$A$55:$J$107,'4.処理能力'!$A$109:$J$153</definedName>
    <definedName name="_xlnm.Print_Area" localSheetId="6">'5.エネルギー消費量'!$A$2:$K$47,'5.エネルギー消費量'!$A$49:$K$92,'5.エネルギー消費量'!$A$94:$K$145,'5.エネルギー消費量'!$A$147:$K$194,'5.エネルギー消費量'!$A$196:$K$239</definedName>
    <definedName name="_xlnm.Print_Area" localSheetId="7">'6.給水量または給湯量'!$A$2:$K$46</definedName>
    <definedName name="_xlnm.Print_Area" localSheetId="0">表紙!$A$1:$L$73</definedName>
    <definedName name="エネ給水温">'5.エネルギー消費量'!$Q$13</definedName>
    <definedName name="エネ給湯温">'5.エネルギー消費量'!$P$13</definedName>
    <definedName name="エネ空水温">'5.エネルギー消費量'!$R$13</definedName>
    <definedName name="エネ水温記号" localSheetId="6">INDIRECT('5.エネルギー消費量'!$O$13)</definedName>
    <definedName name="給水温">'4.処理能力'!$P$32</definedName>
    <definedName name="給湯温">'4.処理能力'!$O$32</definedName>
    <definedName name="空水温">'4.処理能力'!$Q$32</definedName>
    <definedName name="水温記号" localSheetId="5">INDIRECT('4.処理能力'!$N$32)</definedName>
  </definedNames>
  <calcPr calcId="145621"/>
</workbook>
</file>

<file path=xl/calcChain.xml><?xml version="1.0" encoding="utf-8"?>
<calcChain xmlns="http://schemas.openxmlformats.org/spreadsheetml/2006/main">
  <c r="K53" i="10" l="1"/>
  <c r="K52" i="10"/>
  <c r="K51" i="10"/>
  <c r="K50" i="10"/>
  <c r="K54" i="10"/>
  <c r="G167" i="6" l="1"/>
  <c r="G175" i="6" s="1"/>
  <c r="G177" i="6" s="1"/>
  <c r="H93" i="5"/>
  <c r="H34" i="5"/>
  <c r="F32" i="14"/>
  <c r="G187" i="6" l="1"/>
  <c r="G189" i="6" l="1"/>
  <c r="L52" i="5"/>
  <c r="H70" i="6" l="1"/>
  <c r="G70" i="6"/>
  <c r="G79" i="6" s="1"/>
  <c r="H76" i="5"/>
  <c r="G53" i="14"/>
  <c r="F53" i="14"/>
  <c r="F67" i="14" s="1"/>
  <c r="G53" i="11"/>
  <c r="F53" i="11"/>
  <c r="F67" i="11" s="1"/>
  <c r="H53" i="4"/>
  <c r="G53" i="4"/>
  <c r="G70" i="4" s="1"/>
  <c r="H187" i="6" l="1"/>
  <c r="H85" i="5" l="1"/>
  <c r="H87" i="5" s="1"/>
  <c r="G21" i="4"/>
  <c r="F32" i="11"/>
  <c r="G35" i="6" l="1"/>
  <c r="H107" i="6" l="1"/>
  <c r="H106" i="6"/>
  <c r="G107" i="6"/>
  <c r="G106" i="6"/>
  <c r="B3" i="7" l="1"/>
  <c r="H108" i="13" l="1"/>
  <c r="H57" i="13"/>
  <c r="H4" i="13"/>
  <c r="B108" i="13"/>
  <c r="B57" i="13"/>
  <c r="B4" i="13"/>
  <c r="E99" i="13" l="1"/>
  <c r="F39" i="14" l="1"/>
  <c r="H167" i="6" l="1"/>
  <c r="H175" i="6" s="1"/>
  <c r="H121" i="6"/>
  <c r="H32" i="4"/>
  <c r="G32" i="4"/>
  <c r="G118" i="13" l="1"/>
  <c r="E118" i="13"/>
  <c r="H35" i="13"/>
  <c r="H41" i="13" s="1"/>
  <c r="I3" i="7" l="1"/>
  <c r="H149" i="6"/>
  <c r="B149" i="6"/>
  <c r="I148" i="6"/>
  <c r="B148" i="6"/>
  <c r="H96" i="6"/>
  <c r="B96" i="6"/>
  <c r="I95" i="6"/>
  <c r="B95" i="6"/>
  <c r="H198" i="6"/>
  <c r="B198" i="6"/>
  <c r="I197" i="6"/>
  <c r="B197" i="6"/>
  <c r="H51" i="6"/>
  <c r="B51" i="6"/>
  <c r="I50" i="6"/>
  <c r="B50" i="6"/>
  <c r="I3" i="6"/>
  <c r="B3" i="6"/>
  <c r="B107" i="13"/>
  <c r="B56" i="13"/>
  <c r="B58" i="4"/>
  <c r="B57" i="11"/>
  <c r="B57" i="14"/>
  <c r="B110" i="5"/>
  <c r="H111" i="5"/>
  <c r="B111" i="5"/>
  <c r="I110" i="5"/>
  <c r="I56" i="5"/>
  <c r="I3" i="5"/>
  <c r="G58" i="14"/>
  <c r="B58" i="14"/>
  <c r="H57" i="14"/>
  <c r="H3" i="14"/>
  <c r="H57" i="11"/>
  <c r="H3" i="11"/>
  <c r="G58" i="11"/>
  <c r="B58" i="11"/>
  <c r="H59" i="4"/>
  <c r="B59" i="4"/>
  <c r="I3" i="4"/>
  <c r="I58" i="4" s="1"/>
  <c r="J107" i="13"/>
  <c r="J56" i="13"/>
  <c r="J3" i="13"/>
  <c r="G38" i="4"/>
  <c r="B56" i="5"/>
  <c r="H117" i="13"/>
  <c r="H67" i="13"/>
  <c r="H19" i="10" s="1"/>
  <c r="M10" i="14"/>
  <c r="M11" i="14" s="1"/>
  <c r="M10" i="11"/>
  <c r="M11" i="11" s="1"/>
  <c r="M10" i="4"/>
  <c r="M11" i="4" s="1"/>
  <c r="B3" i="11"/>
  <c r="H137" i="6"/>
  <c r="N137" i="6" s="1"/>
  <c r="G103" i="6"/>
  <c r="N103" i="6" s="1"/>
  <c r="G33" i="6"/>
  <c r="N33" i="6" s="1"/>
  <c r="B3" i="14"/>
  <c r="H189" i="6"/>
  <c r="H177" i="6"/>
  <c r="N117" i="6"/>
  <c r="M32" i="5"/>
  <c r="H79" i="6"/>
  <c r="H17" i="6"/>
  <c r="G17" i="6"/>
  <c r="H16" i="6"/>
  <c r="G16" i="6"/>
  <c r="N13" i="6"/>
  <c r="N35" i="6"/>
  <c r="H15" i="6"/>
  <c r="G15" i="6"/>
  <c r="H14" i="6"/>
  <c r="G14" i="6"/>
  <c r="H19" i="6"/>
  <c r="G19" i="6"/>
  <c r="H37" i="6"/>
  <c r="G37" i="6"/>
  <c r="H36" i="6"/>
  <c r="G36" i="6"/>
  <c r="H35" i="6"/>
  <c r="H138" i="6"/>
  <c r="G32" i="14"/>
  <c r="G34" i="14" s="1"/>
  <c r="G36" i="14" s="1"/>
  <c r="G67" i="14"/>
  <c r="G39" i="14"/>
  <c r="G21" i="14"/>
  <c r="F21" i="14"/>
  <c r="G8" i="14"/>
  <c r="G4" i="14"/>
  <c r="B4" i="14"/>
  <c r="G67" i="11"/>
  <c r="H70" i="4"/>
  <c r="B3" i="13"/>
  <c r="H90" i="13"/>
  <c r="H98" i="13"/>
  <c r="E91" i="13"/>
  <c r="G99" i="13"/>
  <c r="G91" i="13"/>
  <c r="H25" i="7"/>
  <c r="N61" i="10" s="1"/>
  <c r="H24" i="7"/>
  <c r="N62" i="10" s="1"/>
  <c r="H23" i="7"/>
  <c r="N63" i="10" s="1"/>
  <c r="N51" i="10"/>
  <c r="N53" i="10"/>
  <c r="N50" i="10"/>
  <c r="N52" i="10"/>
  <c r="K56" i="10"/>
  <c r="K55" i="10"/>
  <c r="K57" i="10"/>
  <c r="H34" i="4"/>
  <c r="B3" i="5"/>
  <c r="F39" i="11"/>
  <c r="G39" i="11"/>
  <c r="B3" i="4"/>
  <c r="H4" i="6"/>
  <c r="B4" i="6"/>
  <c r="H38" i="4"/>
  <c r="G8" i="11"/>
  <c r="H8" i="4"/>
  <c r="H39" i="5"/>
  <c r="H124" i="6" s="1"/>
  <c r="H123" i="6"/>
  <c r="H29" i="5"/>
  <c r="G32" i="11"/>
  <c r="G34" i="11" s="1"/>
  <c r="G36" i="11" s="1"/>
  <c r="H39" i="6"/>
  <c r="H109" i="6" s="1"/>
  <c r="G39" i="6"/>
  <c r="G109" i="6" s="1"/>
  <c r="H12" i="7"/>
  <c r="H8" i="7"/>
  <c r="G84" i="6" s="1"/>
  <c r="H21" i="5"/>
  <c r="H50" i="5" s="1"/>
  <c r="G21" i="11"/>
  <c r="F21" i="11"/>
  <c r="H21" i="4"/>
  <c r="H23" i="4" s="1"/>
  <c r="B57" i="5"/>
  <c r="H57" i="5"/>
  <c r="B4" i="11"/>
  <c r="G4" i="11"/>
  <c r="H4" i="4"/>
  <c r="H4" i="7"/>
  <c r="H4" i="5"/>
  <c r="B4" i="7"/>
  <c r="B4" i="5"/>
  <c r="B4" i="4"/>
  <c r="G23" i="11" l="1"/>
  <c r="G25" i="11" s="1"/>
  <c r="H49" i="5"/>
  <c r="H21" i="10"/>
  <c r="L22" i="10" s="1"/>
  <c r="N32" i="5"/>
  <c r="H48" i="5"/>
  <c r="O13" i="6"/>
  <c r="K62" i="10"/>
  <c r="G42" i="11"/>
  <c r="G13" i="6"/>
  <c r="G23" i="14"/>
  <c r="G25" i="14" s="1"/>
  <c r="G42" i="14" s="1"/>
  <c r="H84" i="6"/>
  <c r="H59" i="10"/>
  <c r="H125" i="6"/>
  <c r="K63" i="10"/>
  <c r="H141" i="6"/>
  <c r="G18" i="6"/>
  <c r="H85" i="6"/>
  <c r="H38" i="6"/>
  <c r="H21" i="7"/>
  <c r="H58" i="10"/>
  <c r="H18" i="6"/>
  <c r="H22" i="7"/>
  <c r="G38" i="6"/>
  <c r="G108" i="6" s="1"/>
  <c r="G112" i="6" s="1"/>
  <c r="H25" i="4"/>
  <c r="H140" i="6"/>
  <c r="H179" i="6"/>
  <c r="H191" i="6"/>
  <c r="H226" i="6" s="1"/>
  <c r="G85" i="6"/>
  <c r="G88" i="6" s="1"/>
  <c r="H13" i="6"/>
  <c r="H22" i="6" s="1"/>
  <c r="H36" i="4"/>
  <c r="K19" i="10"/>
  <c r="L20" i="10"/>
  <c r="K20" i="10"/>
  <c r="K61" i="10"/>
  <c r="G22" i="6" l="1"/>
  <c r="H41" i="4"/>
  <c r="H52" i="5"/>
  <c r="H61" i="5" s="1"/>
  <c r="G42" i="6"/>
  <c r="H88" i="6"/>
  <c r="H90" i="6" s="1"/>
  <c r="H23" i="10"/>
  <c r="I23" i="10" s="1"/>
  <c r="K22" i="10"/>
  <c r="H29" i="10"/>
  <c r="H26" i="10"/>
  <c r="K27" i="10" s="1"/>
  <c r="K21" i="10"/>
  <c r="H108" i="6"/>
  <c r="H112" i="6" s="1"/>
  <c r="H114" i="6" s="1"/>
  <c r="H225" i="6" s="1"/>
  <c r="H27" i="7"/>
  <c r="H61" i="10" s="1"/>
  <c r="H42" i="6"/>
  <c r="H208" i="6"/>
  <c r="H181" i="6"/>
  <c r="H46" i="10"/>
  <c r="H48" i="10"/>
  <c r="H193" i="6"/>
  <c r="L24" i="10" l="1"/>
  <c r="H24" i="6"/>
  <c r="H34" i="10" s="1"/>
  <c r="K26" i="10"/>
  <c r="K23" i="10"/>
  <c r="K25" i="10"/>
  <c r="I26" i="10"/>
  <c r="K24" i="10"/>
  <c r="L27" i="10"/>
  <c r="H139" i="6"/>
  <c r="H122" i="6"/>
  <c r="H44" i="6"/>
  <c r="H36" i="10" s="1"/>
  <c r="H40" i="10"/>
  <c r="H31" i="10"/>
  <c r="H38" i="10"/>
  <c r="H207" i="6"/>
  <c r="H26" i="6" l="1"/>
  <c r="H206" i="6"/>
  <c r="H46" i="6"/>
  <c r="H224" i="6"/>
  <c r="H126" i="6"/>
  <c r="H129" i="6" s="1"/>
  <c r="H210" i="6"/>
  <c r="H142" i="6"/>
  <c r="H144" i="6" s="1"/>
  <c r="H228" i="6"/>
  <c r="H227" i="6" l="1"/>
  <c r="H44" i="10"/>
  <c r="H42" i="10"/>
  <c r="H209" i="6"/>
  <c r="H235" i="6" l="1"/>
  <c r="H54" i="10" s="1"/>
  <c r="H216" i="6"/>
  <c r="H50" i="10" s="1"/>
</calcChain>
</file>

<file path=xl/sharedStrings.xml><?xml version="1.0" encoding="utf-8"?>
<sst xmlns="http://schemas.openxmlformats.org/spreadsheetml/2006/main" count="1218" uniqueCount="521">
  <si>
    <t>(ℓ/回)</t>
    <rPh sb="3" eb="4">
      <t>カイ</t>
    </rPh>
    <phoneticPr fontId="3"/>
  </si>
  <si>
    <t>(ℓ/日)</t>
    <rPh sb="3" eb="4">
      <t>ヒ</t>
    </rPh>
    <phoneticPr fontId="3"/>
  </si>
  <si>
    <t>型　　式</t>
    <rPh sb="0" eb="1">
      <t>カタ</t>
    </rPh>
    <rPh sb="3" eb="4">
      <t>シキ</t>
    </rPh>
    <phoneticPr fontId="3"/>
  </si>
  <si>
    <t>製造者名</t>
    <rPh sb="0" eb="2">
      <t>セイゾウ</t>
    </rPh>
    <rPh sb="2" eb="3">
      <t>シャ</t>
    </rPh>
    <rPh sb="3" eb="4">
      <t>メイ</t>
    </rPh>
    <phoneticPr fontId="3"/>
  </si>
  <si>
    <t xml:space="preserve"> (kWh/日）</t>
  </si>
  <si>
    <t>試験場所</t>
    <rPh sb="0" eb="2">
      <t>シケン</t>
    </rPh>
    <rPh sb="2" eb="4">
      <t>バショ</t>
    </rPh>
    <phoneticPr fontId="3"/>
  </si>
  <si>
    <t>試験日</t>
    <rPh sb="0" eb="2">
      <t>シケン</t>
    </rPh>
    <rPh sb="2" eb="3">
      <t>ヒ</t>
    </rPh>
    <phoneticPr fontId="3"/>
  </si>
  <si>
    <t>測定器</t>
    <rPh sb="0" eb="2">
      <t>ソクテイ</t>
    </rPh>
    <rPh sb="2" eb="3">
      <t>ウツワ</t>
    </rPh>
    <phoneticPr fontId="3"/>
  </si>
  <si>
    <t>電　　源</t>
    <rPh sb="0" eb="1">
      <t>デン</t>
    </rPh>
    <rPh sb="3" eb="4">
      <t>ミナモト</t>
    </rPh>
    <phoneticPr fontId="3"/>
  </si>
  <si>
    <t>(min）</t>
    <phoneticPr fontId="3"/>
  </si>
  <si>
    <t>①立上り時</t>
    <phoneticPr fontId="3"/>
  </si>
  <si>
    <t>(kWh/h)</t>
    <phoneticPr fontId="3"/>
  </si>
  <si>
    <t>仕上げすすぎタンク</t>
    <rPh sb="0" eb="2">
      <t>シア</t>
    </rPh>
    <phoneticPr fontId="3"/>
  </si>
  <si>
    <t>表示洗浄能力</t>
    <rPh sb="0" eb="2">
      <t>ヒョウジ</t>
    </rPh>
    <rPh sb="2" eb="4">
      <t>センジョウ</t>
    </rPh>
    <rPh sb="4" eb="6">
      <t>ノウリョク</t>
    </rPh>
    <phoneticPr fontId="3"/>
  </si>
  <si>
    <r>
      <t>(</t>
    </r>
    <r>
      <rPr>
        <sz val="8"/>
        <rFont val="ＭＳ Ｐゴシック"/>
        <family val="3"/>
        <charset val="128"/>
      </rPr>
      <t>ラック</t>
    </r>
    <r>
      <rPr>
        <sz val="10"/>
        <rFont val="ＭＳ Ｐゴシック"/>
        <family val="3"/>
        <charset val="128"/>
      </rPr>
      <t>/h)</t>
    </r>
    <phoneticPr fontId="3"/>
  </si>
  <si>
    <t>④待機時</t>
    <phoneticPr fontId="3"/>
  </si>
  <si>
    <t>機器の
主な仕様</t>
    <rPh sb="0" eb="2">
      <t>キキ</t>
    </rPh>
    <rPh sb="4" eb="5">
      <t>オモ</t>
    </rPh>
    <rPh sb="6" eb="8">
      <t>シヨウ</t>
    </rPh>
    <phoneticPr fontId="3"/>
  </si>
  <si>
    <t>(℃)</t>
  </si>
  <si>
    <t>(ﾗｯｸ／h)</t>
  </si>
  <si>
    <t>試験食器写真</t>
    <rPh sb="0" eb="2">
      <t>シケン</t>
    </rPh>
    <rPh sb="2" eb="4">
      <t>ショッキ</t>
    </rPh>
    <rPh sb="4" eb="6">
      <t>シャシン</t>
    </rPh>
    <phoneticPr fontId="3"/>
  </si>
  <si>
    <t>(回/日)</t>
  </si>
  <si>
    <t>担当部署</t>
    <rPh sb="0" eb="2">
      <t>タントウ</t>
    </rPh>
    <rPh sb="2" eb="4">
      <t>ブショ</t>
    </rPh>
    <phoneticPr fontId="3"/>
  </si>
  <si>
    <t>（秒）</t>
    <rPh sb="1" eb="2">
      <t>ビョウ</t>
    </rPh>
    <phoneticPr fontId="3"/>
  </si>
  <si>
    <t>定格消費電力</t>
    <rPh sb="0" eb="2">
      <t>テイカク</t>
    </rPh>
    <rPh sb="2" eb="4">
      <t>ショウヒ</t>
    </rPh>
    <rPh sb="4" eb="6">
      <t>デンリョク</t>
    </rPh>
    <phoneticPr fontId="3"/>
  </si>
  <si>
    <t>（小数点以下1位）</t>
    <rPh sb="1" eb="4">
      <t>ショウスウテン</t>
    </rPh>
    <rPh sb="4" eb="6">
      <t>イカ</t>
    </rPh>
    <rPh sb="7" eb="8">
      <t>イ</t>
    </rPh>
    <phoneticPr fontId="3"/>
  </si>
  <si>
    <t>（小数点以下3位）</t>
    <rPh sb="1" eb="4">
      <t>ショウスウテン</t>
    </rPh>
    <rPh sb="4" eb="6">
      <t>イカ</t>
    </rPh>
    <rPh sb="7" eb="8">
      <t>イ</t>
    </rPh>
    <phoneticPr fontId="3"/>
  </si>
  <si>
    <t>(min)</t>
    <phoneticPr fontId="3"/>
  </si>
  <si>
    <t>1回目</t>
    <rPh sb="1" eb="3">
      <t>カイメ</t>
    </rPh>
    <phoneticPr fontId="3"/>
  </si>
  <si>
    <t>2回目</t>
    <rPh sb="1" eb="3">
      <t>カイメ</t>
    </rPh>
    <phoneticPr fontId="3"/>
  </si>
  <si>
    <t>（小数点以下2位）</t>
    <rPh sb="1" eb="4">
      <t>ショウスウテン</t>
    </rPh>
    <rPh sb="4" eb="6">
      <t>イカ</t>
    </rPh>
    <rPh sb="7" eb="8">
      <t>イ</t>
    </rPh>
    <phoneticPr fontId="3"/>
  </si>
  <si>
    <t>品　　目</t>
    <rPh sb="0" eb="1">
      <t>シナ</t>
    </rPh>
    <rPh sb="3" eb="4">
      <t>メ</t>
    </rPh>
    <phoneticPr fontId="3"/>
  </si>
  <si>
    <t>名　　称</t>
    <rPh sb="0" eb="1">
      <t>ナ</t>
    </rPh>
    <rPh sb="3" eb="4">
      <t>ショウ</t>
    </rPh>
    <phoneticPr fontId="3"/>
  </si>
  <si>
    <t>重量(kg)</t>
    <rPh sb="0" eb="2">
      <t>ジュウリョウ</t>
    </rPh>
    <phoneticPr fontId="3"/>
  </si>
  <si>
    <t>誤差</t>
    <rPh sb="0" eb="2">
      <t>ゴサ</t>
    </rPh>
    <phoneticPr fontId="3"/>
  </si>
  <si>
    <t>～</t>
    <phoneticPr fontId="3"/>
  </si>
  <si>
    <t>試験日</t>
    <rPh sb="0" eb="3">
      <t>シケンビ</t>
    </rPh>
    <phoneticPr fontId="3"/>
  </si>
  <si>
    <t>湿度(%)</t>
    <rPh sb="0" eb="1">
      <t>シツ</t>
    </rPh>
    <rPh sb="1" eb="2">
      <t>タビ</t>
    </rPh>
    <phoneticPr fontId="3"/>
  </si>
  <si>
    <t>気圧(hPa)</t>
    <rPh sb="0" eb="1">
      <t>キ</t>
    </rPh>
    <rPh sb="1" eb="2">
      <t>アツ</t>
    </rPh>
    <phoneticPr fontId="3"/>
  </si>
  <si>
    <t>室温(℃)</t>
    <phoneticPr fontId="3"/>
  </si>
  <si>
    <t>作成日</t>
    <rPh sb="0" eb="2">
      <t>サクセイ</t>
    </rPh>
    <rPh sb="2" eb="3">
      <t>ニチ</t>
    </rPh>
    <phoneticPr fontId="3"/>
  </si>
  <si>
    <t>③処理時</t>
    <phoneticPr fontId="3"/>
  </si>
  <si>
    <t>(kWh/日)</t>
    <rPh sb="5" eb="6">
      <t>ヒ</t>
    </rPh>
    <phoneticPr fontId="3"/>
  </si>
  <si>
    <t>(ℓ/ﾗｯｸ)</t>
    <phoneticPr fontId="3"/>
  </si>
  <si>
    <t>（ｗ） ×</t>
    <phoneticPr fontId="3"/>
  </si>
  <si>
    <t>（Ｄ）　　×</t>
    <phoneticPr fontId="3"/>
  </si>
  <si>
    <t>（Ｈ）　</t>
    <phoneticPr fontId="3"/>
  </si>
  <si>
    <t>(℃)</t>
    <phoneticPr fontId="3"/>
  </si>
  <si>
    <t>（s/回）</t>
    <rPh sb="3" eb="4">
      <t>カイ</t>
    </rPh>
    <phoneticPr fontId="3"/>
  </si>
  <si>
    <t>（整数）</t>
    <rPh sb="1" eb="3">
      <t>セイスウ</t>
    </rPh>
    <phoneticPr fontId="3"/>
  </si>
  <si>
    <t>6回目</t>
    <rPh sb="1" eb="3">
      <t>カイメ</t>
    </rPh>
    <phoneticPr fontId="3"/>
  </si>
  <si>
    <t>7回目</t>
    <rPh sb="1" eb="3">
      <t>カイメ</t>
    </rPh>
    <phoneticPr fontId="3"/>
  </si>
  <si>
    <t>8回目</t>
    <rPh sb="1" eb="3">
      <t>カイメ</t>
    </rPh>
    <phoneticPr fontId="3"/>
  </si>
  <si>
    <t>9回目</t>
    <rPh sb="1" eb="3">
      <t>カイメ</t>
    </rPh>
    <phoneticPr fontId="3"/>
  </si>
  <si>
    <t>(min)</t>
  </si>
  <si>
    <t>(kWh/回)</t>
    <rPh sb="5" eb="6">
      <t>カイ</t>
    </rPh>
    <phoneticPr fontId="3"/>
  </si>
  <si>
    <t>(ﾗｯｸ/ｈ）</t>
    <phoneticPr fontId="3"/>
  </si>
  <si>
    <t>(ﾗｯｸ/h)</t>
    <phoneticPr fontId="3"/>
  </si>
  <si>
    <t>（ラック/h）</t>
    <phoneticPr fontId="3"/>
  </si>
  <si>
    <t>（ℓ/ラック）</t>
    <phoneticPr fontId="3"/>
  </si>
  <si>
    <t>（ℓ/回）</t>
    <rPh sb="3" eb="4">
      <t>カイ</t>
    </rPh>
    <phoneticPr fontId="3"/>
  </si>
  <si>
    <r>
      <t>（ℓ/</t>
    </r>
    <r>
      <rPr>
        <sz val="8"/>
        <rFont val="ＭＳ Ｐゴシック"/>
        <family val="3"/>
        <charset val="128"/>
      </rPr>
      <t>ラック</t>
    </r>
    <r>
      <rPr>
        <sz val="10"/>
        <rFont val="ＭＳ Ｐゴシック"/>
        <family val="3"/>
        <charset val="128"/>
      </rPr>
      <t>）</t>
    </r>
    <phoneticPr fontId="3"/>
  </si>
  <si>
    <t>（ℓ/日）</t>
    <rPh sb="3" eb="4">
      <t>ヒ</t>
    </rPh>
    <phoneticPr fontId="3"/>
  </si>
  <si>
    <t>①立上り時</t>
    <phoneticPr fontId="3"/>
  </si>
  <si>
    <t>③処理時</t>
    <phoneticPr fontId="3"/>
  </si>
  <si>
    <t>(ﾗｯｸ/日）</t>
    <phoneticPr fontId="3"/>
  </si>
  <si>
    <t>(h/日)</t>
    <rPh sb="3" eb="4">
      <t>ヒ</t>
    </rPh>
    <phoneticPr fontId="3"/>
  </si>
  <si>
    <t>特に規定しない。</t>
    <rPh sb="0" eb="1">
      <t>トク</t>
    </rPh>
    <rPh sb="2" eb="4">
      <t>キテイ</t>
    </rPh>
    <phoneticPr fontId="3"/>
  </si>
  <si>
    <t>(min)</t>
    <phoneticPr fontId="3"/>
  </si>
  <si>
    <t>(℃)</t>
    <phoneticPr fontId="3"/>
  </si>
  <si>
    <t>気圧
(hPa)</t>
    <rPh sb="0" eb="1">
      <t>キ</t>
    </rPh>
    <rPh sb="1" eb="2">
      <t>アツ</t>
    </rPh>
    <phoneticPr fontId="3"/>
  </si>
  <si>
    <t>室温
(℃)</t>
    <phoneticPr fontId="3"/>
  </si>
  <si>
    <t>(kWh)</t>
    <phoneticPr fontId="3"/>
  </si>
  <si>
    <t>(kWh/ｈ)</t>
    <phoneticPr fontId="3"/>
  </si>
  <si>
    <t>(回/日)</t>
    <phoneticPr fontId="3"/>
  </si>
  <si>
    <t>(ﾗｯｸ/日）</t>
    <phoneticPr fontId="3"/>
  </si>
  <si>
    <t>(ℓ/ﾗｯｸ)</t>
    <phoneticPr fontId="3"/>
  </si>
  <si>
    <t>(s/回)</t>
    <rPh sb="3" eb="4">
      <t>カイ</t>
    </rPh>
    <phoneticPr fontId="3"/>
  </si>
  <si>
    <t>ヒータ容量
(kW)</t>
    <rPh sb="3" eb="5">
      <t>ヨウリョウ</t>
    </rPh>
    <phoneticPr fontId="3"/>
  </si>
  <si>
    <t>②処理時</t>
    <phoneticPr fontId="3"/>
  </si>
  <si>
    <t>③待機時</t>
    <phoneticPr fontId="3"/>
  </si>
  <si>
    <t>①立上り時</t>
    <rPh sb="1" eb="3">
      <t>タチアガ</t>
    </rPh>
    <rPh sb="4" eb="5">
      <t>ジ</t>
    </rPh>
    <phoneticPr fontId="3"/>
  </si>
  <si>
    <t>②処理時</t>
    <rPh sb="1" eb="3">
      <t>ショリ</t>
    </rPh>
    <rPh sb="3" eb="4">
      <t>ジ</t>
    </rPh>
    <phoneticPr fontId="3"/>
  </si>
  <si>
    <t>貯湯量
(ℓ)</t>
    <rPh sb="0" eb="1">
      <t>チョ</t>
    </rPh>
    <rPh sb="1" eb="2">
      <t>トウ</t>
    </rPh>
    <rPh sb="2" eb="3">
      <t>リョウ</t>
    </rPh>
    <phoneticPr fontId="3"/>
  </si>
  <si>
    <t>(ℓ/回）</t>
    <rPh sb="3" eb="4">
      <t>カイ</t>
    </rPh>
    <phoneticPr fontId="3"/>
  </si>
  <si>
    <t>(kJ/kg℃)</t>
    <phoneticPr fontId="3"/>
  </si>
  <si>
    <t>10回目</t>
    <rPh sb="2" eb="4">
      <t>カイメ</t>
    </rPh>
    <phoneticPr fontId="3"/>
  </si>
  <si>
    <t>（s）</t>
    <phoneticPr fontId="3"/>
  </si>
  <si>
    <t>(ℓ/回）</t>
    <phoneticPr fontId="3"/>
  </si>
  <si>
    <t>(kJ/kg℃)</t>
    <phoneticPr fontId="3"/>
  </si>
  <si>
    <t>陶磁器製φ230　洋皿
16枚/ラック</t>
    <rPh sb="0" eb="3">
      <t>トウジキ</t>
    </rPh>
    <rPh sb="3" eb="4">
      <t>セイ</t>
    </rPh>
    <rPh sb="9" eb="10">
      <t>ヨウ</t>
    </rPh>
    <rPh sb="10" eb="11">
      <t>サラ</t>
    </rPh>
    <rPh sb="14" eb="15">
      <t>マイ</t>
    </rPh>
    <phoneticPr fontId="3"/>
  </si>
  <si>
    <t>　立上りグラフ</t>
    <rPh sb="1" eb="3">
      <t>タチアガ</t>
    </rPh>
    <phoneticPr fontId="3"/>
  </si>
  <si>
    <t>　処理試験写真</t>
    <rPh sb="1" eb="3">
      <t>ショリ</t>
    </rPh>
    <rPh sb="3" eb="5">
      <t>シケン</t>
    </rPh>
    <rPh sb="5" eb="7">
      <t>シャシン</t>
    </rPh>
    <phoneticPr fontId="3"/>
  </si>
  <si>
    <t>　処理時温度測定グラフ</t>
    <rPh sb="1" eb="3">
      <t>ショリ</t>
    </rPh>
    <rPh sb="3" eb="4">
      <t>ジ</t>
    </rPh>
    <rPh sb="4" eb="6">
      <t>オンド</t>
    </rPh>
    <rPh sb="6" eb="8">
      <t>ソクテイ</t>
    </rPh>
    <phoneticPr fontId="3"/>
  </si>
  <si>
    <t>規定なし</t>
    <rPh sb="0" eb="2">
      <t>キテイ</t>
    </rPh>
    <phoneticPr fontId="3"/>
  </si>
  <si>
    <t>③待機時</t>
    <rPh sb="1" eb="3">
      <t>タイキ</t>
    </rPh>
    <rPh sb="3" eb="4">
      <t>ジ</t>
    </rPh>
    <phoneticPr fontId="3"/>
  </si>
  <si>
    <t xml:space="preserve"> (kWh/回）</t>
    <rPh sb="6" eb="7">
      <t>カイ</t>
    </rPh>
    <phoneticPr fontId="3"/>
  </si>
  <si>
    <t>（kJ/kg℃)</t>
    <phoneticPr fontId="3"/>
  </si>
  <si>
    <t>外形寸法(mm)</t>
    <rPh sb="0" eb="2">
      <t>ガイケイ</t>
    </rPh>
    <rPh sb="2" eb="4">
      <t>スンポウ</t>
    </rPh>
    <phoneticPr fontId="3"/>
  </si>
  <si>
    <t>℃以上</t>
  </si>
  <si>
    <t>仕上げすすぎタンクへの必要給湯温度</t>
    <rPh sb="0" eb="2">
      <t>シア</t>
    </rPh>
    <rPh sb="11" eb="13">
      <t>ヒツヨウ</t>
    </rPh>
    <rPh sb="13" eb="15">
      <t>キュウトウ</t>
    </rPh>
    <rPh sb="15" eb="17">
      <t>オンド</t>
    </rPh>
    <phoneticPr fontId="3"/>
  </si>
  <si>
    <t>標準洗浄サイクル</t>
    <rPh sb="0" eb="2">
      <t>ヒョウジュン</t>
    </rPh>
    <rPh sb="2" eb="4">
      <t>センジョウ</t>
    </rPh>
    <phoneticPr fontId="3"/>
  </si>
  <si>
    <t>標準給湯量</t>
    <rPh sb="0" eb="2">
      <t>ヒョウジュン</t>
    </rPh>
    <rPh sb="2" eb="3">
      <t>キュウ</t>
    </rPh>
    <rPh sb="3" eb="4">
      <t>トウ</t>
    </rPh>
    <rPh sb="4" eb="5">
      <t>リョウ</t>
    </rPh>
    <phoneticPr fontId="3"/>
  </si>
  <si>
    <t>洗浄タンク</t>
    <rPh sb="0" eb="2">
      <t>センジョウ</t>
    </rPh>
    <phoneticPr fontId="3"/>
  </si>
  <si>
    <t>立上り時の洗浄タンクへの給水方式</t>
    <rPh sb="0" eb="2">
      <t>タチアガ</t>
    </rPh>
    <rPh sb="3" eb="4">
      <t>ジ</t>
    </rPh>
    <rPh sb="5" eb="7">
      <t>センジョウ</t>
    </rPh>
    <rPh sb="12" eb="14">
      <t>キュウスイ</t>
    </rPh>
    <rPh sb="14" eb="16">
      <t>ホウシキ</t>
    </rPh>
    <phoneticPr fontId="3"/>
  </si>
  <si>
    <t>B.立上り時の給湯が仕上げすすぎタンクに入る場合</t>
    <phoneticPr fontId="3"/>
  </si>
  <si>
    <t>A.立上り時の給湯が洗浄タンクに直接入る場合</t>
    <phoneticPr fontId="3"/>
  </si>
  <si>
    <t>　　　（すすぎ終了までに洗浄タンクが60 ℃に復帰している場合には0s とする）</t>
    <phoneticPr fontId="3"/>
  </si>
  <si>
    <t>②洗浄水入替え時</t>
    <rPh sb="3" eb="4">
      <t>スイ</t>
    </rPh>
    <phoneticPr fontId="3"/>
  </si>
  <si>
    <t>②洗浄水入替え時</t>
    <rPh sb="1" eb="3">
      <t>センジョウ</t>
    </rPh>
    <rPh sb="3" eb="4">
      <t>スイ</t>
    </rPh>
    <rPh sb="4" eb="6">
      <t>イレカ</t>
    </rPh>
    <rPh sb="7" eb="8">
      <t>ジ</t>
    </rPh>
    <phoneticPr fontId="3"/>
  </si>
  <si>
    <t>=</t>
    <phoneticPr fontId="3"/>
  </si>
  <si>
    <t>（ラック/回）</t>
    <rPh sb="5" eb="6">
      <t>カイ</t>
    </rPh>
    <phoneticPr fontId="3"/>
  </si>
  <si>
    <t xml:space="preserve"> (kW）</t>
    <phoneticPr fontId="3"/>
  </si>
  <si>
    <t>2.熱効率</t>
    <rPh sb="2" eb="3">
      <t>ネツ</t>
    </rPh>
    <rPh sb="3" eb="5">
      <t>コウリツ</t>
    </rPh>
    <phoneticPr fontId="3"/>
  </si>
  <si>
    <t>3.立上り性能</t>
    <rPh sb="2" eb="4">
      <t>タチアガ</t>
    </rPh>
    <rPh sb="5" eb="7">
      <t>セイノウ</t>
    </rPh>
    <phoneticPr fontId="3"/>
  </si>
  <si>
    <t>4.処理能力</t>
    <phoneticPr fontId="3"/>
  </si>
  <si>
    <t>(kW)</t>
    <phoneticPr fontId="3"/>
  </si>
  <si>
    <t>(%)</t>
    <phoneticPr fontId="3"/>
  </si>
  <si>
    <t>測定写真</t>
    <rPh sb="0" eb="2">
      <t>ソクテイ</t>
    </rPh>
    <rPh sb="2" eb="4">
      <t>シャシン</t>
    </rPh>
    <phoneticPr fontId="3"/>
  </si>
  <si>
    <t>消費電力の許容差</t>
    <rPh sb="0" eb="2">
      <t>ショウヒ</t>
    </rPh>
    <rPh sb="2" eb="4">
      <t>デンリョク</t>
    </rPh>
    <rPh sb="5" eb="7">
      <t>キョヨウ</t>
    </rPh>
    <rPh sb="7" eb="8">
      <t>サ</t>
    </rPh>
    <phoneticPr fontId="3"/>
  </si>
  <si>
    <t>ドアタイプ洗浄機の洗浄工程のイメージ</t>
    <phoneticPr fontId="3"/>
  </si>
  <si>
    <t>セールス
ポイント等</t>
    <rPh sb="9" eb="10">
      <t>トウ</t>
    </rPh>
    <phoneticPr fontId="3"/>
  </si>
  <si>
    <t>6回目の試験食器ラックの洗浄開始から</t>
    <rPh sb="1" eb="3">
      <t>カイメ</t>
    </rPh>
    <phoneticPr fontId="3"/>
  </si>
  <si>
    <t>11回目の試験食器ラックの洗浄開始までの消費電力量 =</t>
  </si>
  <si>
    <t>(Hz)</t>
    <phoneticPr fontId="3"/>
  </si>
  <si>
    <t>試験機器の電動機の最大消費電力 =</t>
    <rPh sb="0" eb="2">
      <t>シケン</t>
    </rPh>
    <rPh sb="2" eb="4">
      <t>キキ</t>
    </rPh>
    <rPh sb="5" eb="8">
      <t>デンドウキ</t>
    </rPh>
    <rPh sb="9" eb="11">
      <t>サイダイ</t>
    </rPh>
    <rPh sb="11" eb="13">
      <t>ショウヒ</t>
    </rPh>
    <rPh sb="13" eb="15">
      <t>デンリョク</t>
    </rPh>
    <phoneticPr fontId="3"/>
  </si>
  <si>
    <t>電動機の定格消費電力 =</t>
    <rPh sb="0" eb="3">
      <t>デンドウキ</t>
    </rPh>
    <phoneticPr fontId="3"/>
  </si>
  <si>
    <t>試験機器の電熱装置の最大消費電力 =</t>
    <rPh sb="0" eb="2">
      <t>シケン</t>
    </rPh>
    <rPh sb="2" eb="4">
      <t>キキ</t>
    </rPh>
    <rPh sb="5" eb="7">
      <t>デンネツ</t>
    </rPh>
    <rPh sb="7" eb="9">
      <t>ソウチ</t>
    </rPh>
    <rPh sb="10" eb="12">
      <t>サイダイ</t>
    </rPh>
    <rPh sb="12" eb="14">
      <t>ショウヒ</t>
    </rPh>
    <rPh sb="14" eb="16">
      <t>デンリョク</t>
    </rPh>
    <phoneticPr fontId="3"/>
  </si>
  <si>
    <t>電熱装置の定格消費電力 =</t>
    <rPh sb="0" eb="2">
      <t>デンネツ</t>
    </rPh>
    <rPh sb="2" eb="4">
      <t>ソウチ</t>
    </rPh>
    <phoneticPr fontId="3"/>
  </si>
  <si>
    <t>測定時の定格周波数 =</t>
    <rPh sb="0" eb="2">
      <t>ソクテイ</t>
    </rPh>
    <rPh sb="2" eb="3">
      <t>ジ</t>
    </rPh>
    <rPh sb="4" eb="6">
      <t>テイカク</t>
    </rPh>
    <rPh sb="6" eb="9">
      <t>シュウハスウ</t>
    </rPh>
    <phoneticPr fontId="3"/>
  </si>
  <si>
    <t>貯湯
量(ℓ)</t>
    <rPh sb="0" eb="1">
      <t>チョ</t>
    </rPh>
    <rPh sb="1" eb="2">
      <t>トウ</t>
    </rPh>
    <rPh sb="3" eb="4">
      <t>リョウ</t>
    </rPh>
    <phoneticPr fontId="3"/>
  </si>
  <si>
    <t>電動機</t>
  </si>
  <si>
    <t>電熱装置</t>
  </si>
  <si>
    <t>（ガス）</t>
    <phoneticPr fontId="3"/>
  </si>
  <si>
    <t>（電気）</t>
    <rPh sb="1" eb="3">
      <t>デンキ</t>
    </rPh>
    <phoneticPr fontId="3"/>
  </si>
  <si>
    <t>（ガス）</t>
    <phoneticPr fontId="3"/>
  </si>
  <si>
    <t>定格エネルギー消費量(ガス）</t>
    <rPh sb="0" eb="2">
      <t>テイカク</t>
    </rPh>
    <rPh sb="7" eb="9">
      <t>ショウヒ</t>
    </rPh>
    <phoneticPr fontId="3"/>
  </si>
  <si>
    <t>(s)</t>
    <phoneticPr fontId="3"/>
  </si>
  <si>
    <t>（℃）</t>
    <phoneticPr fontId="3"/>
  </si>
  <si>
    <t>（kPa）</t>
    <phoneticPr fontId="3"/>
  </si>
  <si>
    <t>A.給湯(標準温度:60℃)を接続し、立上り時の給湯が洗浄タンクに直接入る場合</t>
    <rPh sb="2" eb="4">
      <t>キュウトウ</t>
    </rPh>
    <rPh sb="5" eb="7">
      <t>ヒョウジュン</t>
    </rPh>
    <rPh sb="7" eb="9">
      <t>オンド</t>
    </rPh>
    <rPh sb="15" eb="17">
      <t>セツゾク</t>
    </rPh>
    <rPh sb="19" eb="21">
      <t>タチアガ</t>
    </rPh>
    <rPh sb="22" eb="23">
      <t>ジ</t>
    </rPh>
    <rPh sb="24" eb="26">
      <t>キュウトウ</t>
    </rPh>
    <rPh sb="27" eb="29">
      <t>センジョウ</t>
    </rPh>
    <rPh sb="33" eb="35">
      <t>チョクセツ</t>
    </rPh>
    <rPh sb="35" eb="36">
      <t>ハイ</t>
    </rPh>
    <rPh sb="37" eb="39">
      <t>バアイ</t>
    </rPh>
    <phoneticPr fontId="3"/>
  </si>
  <si>
    <t>C.給水(標準温度:15℃)を接続する場合</t>
    <rPh sb="2" eb="4">
      <t>キュウスイ</t>
    </rPh>
    <rPh sb="5" eb="7">
      <t>ヒョウジュン</t>
    </rPh>
    <rPh sb="7" eb="9">
      <t>オンド</t>
    </rPh>
    <rPh sb="15" eb="17">
      <t>セツゾク</t>
    </rPh>
    <rPh sb="19" eb="21">
      <t>バアイ</t>
    </rPh>
    <phoneticPr fontId="3"/>
  </si>
  <si>
    <t>C.立上り時の給水が仕上げすすぎタンクに入る場合</t>
    <rPh sb="7" eb="9">
      <t>キュウスイ</t>
    </rPh>
    <phoneticPr fontId="3"/>
  </si>
  <si>
    <t>給湯接続の場合</t>
    <rPh sb="0" eb="2">
      <t>キュウトウ</t>
    </rPh>
    <rPh sb="2" eb="4">
      <t>セツゾク</t>
    </rPh>
    <rPh sb="5" eb="7">
      <t>バアイ</t>
    </rPh>
    <phoneticPr fontId="3"/>
  </si>
  <si>
    <t>給水接続の場合</t>
    <rPh sb="0" eb="2">
      <t>キュウスイ</t>
    </rPh>
    <rPh sb="2" eb="4">
      <t>セツゾク</t>
    </rPh>
    <rPh sb="5" eb="7">
      <t>バアイ</t>
    </rPh>
    <phoneticPr fontId="3"/>
  </si>
  <si>
    <t>処理時のエネルギー消費量</t>
    <rPh sb="0" eb="2">
      <t>ショリ</t>
    </rPh>
    <rPh sb="2" eb="3">
      <t>ジ</t>
    </rPh>
    <rPh sb="9" eb="12">
      <t>ショウヒリョウ</t>
    </rPh>
    <phoneticPr fontId="3"/>
  </si>
  <si>
    <t>11回目の試験食器ラックの洗浄開始までのガス消費量=</t>
    <rPh sb="22" eb="25">
      <t>ショウヒリョウ</t>
    </rPh>
    <phoneticPr fontId="3"/>
  </si>
  <si>
    <t>(kWh)</t>
    <phoneticPr fontId="3"/>
  </si>
  <si>
    <t>11回目の試験食器ラックの洗浄開始までのガス消費量は、次式にて算出する。</t>
    <rPh sb="22" eb="25">
      <t>ショウヒリョウ</t>
    </rPh>
    <rPh sb="27" eb="29">
      <t>ジシキ</t>
    </rPh>
    <rPh sb="31" eb="33">
      <t>サンシュツ</t>
    </rPh>
    <phoneticPr fontId="3"/>
  </si>
  <si>
    <t>B.給湯(標準温度:60℃)を接続し、立上り時の給湯が仕上げすすぎﾀﾝｸに入る場合</t>
    <rPh sb="2" eb="4">
      <t>キュウトウ</t>
    </rPh>
    <rPh sb="5" eb="7">
      <t>ヒョウジュン</t>
    </rPh>
    <rPh sb="7" eb="9">
      <t>オンド</t>
    </rPh>
    <rPh sb="15" eb="17">
      <t>セツゾク</t>
    </rPh>
    <rPh sb="39" eb="41">
      <t>バアイ</t>
    </rPh>
    <phoneticPr fontId="3"/>
  </si>
  <si>
    <t>標準給湯温度[℃]</t>
    <rPh sb="0" eb="2">
      <t>ヒョウジュン</t>
    </rPh>
    <rPh sb="2" eb="4">
      <t>キュウトウ</t>
    </rPh>
    <rPh sb="4" eb="6">
      <t>オンド</t>
    </rPh>
    <phoneticPr fontId="3"/>
  </si>
  <si>
    <t>標準給水温度[℃]</t>
    <rPh sb="0" eb="2">
      <t>ヒョウジュン</t>
    </rPh>
    <rPh sb="2" eb="4">
      <t>キュウスイ</t>
    </rPh>
    <rPh sb="4" eb="5">
      <t>オン</t>
    </rPh>
    <rPh sb="5" eb="6">
      <t>ド</t>
    </rPh>
    <phoneticPr fontId="3"/>
  </si>
  <si>
    <t>待機状態において洗浄機の洗浄タンクを空にし、再び待機状態になるまでに要したガス消費量および消費電力量を測定する。</t>
    <rPh sb="39" eb="42">
      <t>ショウヒリョウ</t>
    </rPh>
    <phoneticPr fontId="3"/>
  </si>
  <si>
    <t>(min)</t>
    <phoneticPr fontId="3"/>
  </si>
  <si>
    <t>処理量を想定した日あたりガス消費量を計算する。</t>
    <rPh sb="0" eb="2">
      <t>ショリ</t>
    </rPh>
    <rPh sb="4" eb="6">
      <t>ソウテイ</t>
    </rPh>
    <rPh sb="14" eb="17">
      <t>ショウヒリョウ</t>
    </rPh>
    <phoneticPr fontId="3"/>
  </si>
  <si>
    <t>①立上り時</t>
    <phoneticPr fontId="3"/>
  </si>
  <si>
    <t>処理量を想定した日あたり消費給湯（給水）量を計算する。</t>
    <rPh sb="0" eb="2">
      <t>ショリ</t>
    </rPh>
    <rPh sb="14" eb="16">
      <t>キュウトウ</t>
    </rPh>
    <rPh sb="17" eb="19">
      <t>キュウスイ</t>
    </rPh>
    <rPh sb="20" eb="21">
      <t>リョウ</t>
    </rPh>
    <phoneticPr fontId="3"/>
  </si>
  <si>
    <t>加熱源</t>
    <rPh sb="0" eb="2">
      <t>カネツ</t>
    </rPh>
    <rPh sb="2" eb="3">
      <t>ゲン</t>
    </rPh>
    <phoneticPr fontId="3"/>
  </si>
  <si>
    <t>(kWh)</t>
    <phoneticPr fontId="3"/>
  </si>
  <si>
    <t>ガス種</t>
    <rPh sb="2" eb="3">
      <t>シュ</t>
    </rPh>
    <phoneticPr fontId="3"/>
  </si>
  <si>
    <t>仕上げすすぎタンクの加熱用熱源として電気を　</t>
    <rPh sb="0" eb="2">
      <t>シア</t>
    </rPh>
    <rPh sb="10" eb="12">
      <t>カネツ</t>
    </rPh>
    <rPh sb="12" eb="13">
      <t>ヨウ</t>
    </rPh>
    <rPh sb="13" eb="15">
      <t>ネツゲン</t>
    </rPh>
    <rPh sb="18" eb="20">
      <t>デンキ</t>
    </rPh>
    <phoneticPr fontId="3"/>
  </si>
  <si>
    <t>※熱源選択</t>
    <rPh sb="1" eb="3">
      <t>ネツゲン</t>
    </rPh>
    <rPh sb="3" eb="5">
      <t>センタク</t>
    </rPh>
    <phoneticPr fontId="3"/>
  </si>
  <si>
    <t>最大ガス消費量・最大消費電力測定グラフ</t>
    <rPh sb="0" eb="2">
      <t>サイダイ</t>
    </rPh>
    <rPh sb="4" eb="7">
      <t>ショウヒリョウ</t>
    </rPh>
    <rPh sb="8" eb="10">
      <t>サイダイ</t>
    </rPh>
    <rPh sb="10" eb="12">
      <t>ショウヒ</t>
    </rPh>
    <rPh sb="12" eb="14">
      <t>デンリョク</t>
    </rPh>
    <rPh sb="14" eb="16">
      <t>ソクテイ</t>
    </rPh>
    <phoneticPr fontId="3"/>
  </si>
  <si>
    <t>(kW)</t>
    <phoneticPr fontId="3"/>
  </si>
  <si>
    <t>　　電動機と電熱装置の最大消費電力を分けて測定するとき</t>
    <phoneticPr fontId="3"/>
  </si>
  <si>
    <t>　　電動機と電熱装置の最大消費電力を分けて測定できないとき</t>
    <phoneticPr fontId="3"/>
  </si>
  <si>
    <t>業務用厨房熱機器等性能測定結果 【ガス機器】</t>
    <rPh sb="0" eb="3">
      <t>ギョウムヨウ</t>
    </rPh>
    <rPh sb="3" eb="5">
      <t>チュウボウ</t>
    </rPh>
    <rPh sb="5" eb="6">
      <t>ネツ</t>
    </rPh>
    <rPh sb="6" eb="8">
      <t>キキ</t>
    </rPh>
    <rPh sb="8" eb="9">
      <t>トウ</t>
    </rPh>
    <rPh sb="9" eb="11">
      <t>セイノウ</t>
    </rPh>
    <rPh sb="11" eb="13">
      <t>ソクテイ</t>
    </rPh>
    <rPh sb="13" eb="15">
      <t>ケッカ</t>
    </rPh>
    <rPh sb="19" eb="21">
      <t>キキ</t>
    </rPh>
    <phoneticPr fontId="3"/>
  </si>
  <si>
    <t>番号</t>
    <rPh sb="0" eb="2">
      <t>バンゴウ</t>
    </rPh>
    <phoneticPr fontId="3"/>
  </si>
  <si>
    <t>業務用厨房熱機器等性能測定結果　【ガス機器】</t>
    <rPh sb="19" eb="21">
      <t>キキ</t>
    </rPh>
    <phoneticPr fontId="3"/>
  </si>
  <si>
    <t>⇒</t>
    <phoneticPr fontId="3"/>
  </si>
  <si>
    <r>
      <t>①：</t>
    </r>
    <r>
      <rPr>
        <b/>
        <sz val="11"/>
        <rFont val="ＭＳ Ｐゴシック"/>
        <family val="3"/>
        <charset val="128"/>
      </rPr>
      <t>「ガス消費量の算出」に規定する次式にて算出する場合</t>
    </r>
    <rPh sb="5" eb="8">
      <t>ショウヒリョウ</t>
    </rPh>
    <rPh sb="9" eb="11">
      <t>サンシュツ</t>
    </rPh>
    <rPh sb="13" eb="15">
      <t>キテイ</t>
    </rPh>
    <rPh sb="17" eb="19">
      <t>ジシキ</t>
    </rPh>
    <rPh sb="21" eb="23">
      <t>サンシュツ</t>
    </rPh>
    <rPh sb="25" eb="27">
      <t>バアイ</t>
    </rPh>
    <phoneticPr fontId="3"/>
  </si>
  <si>
    <t>②：「JIS S2093 家庭用ガス燃焼機器の試験方法」の「9.ガス消費量試験」に規定されている次式にて算出した値（ガスメータは湿式ガスメータとする）を用いる場合
　※業務用ガス厨房機器検査規程（JIA D001）のガス消費量の計算式と同じ式</t>
    <rPh sb="52" eb="54">
      <t>サンシュツ</t>
    </rPh>
    <rPh sb="56" eb="57">
      <t>アタイ</t>
    </rPh>
    <rPh sb="76" eb="77">
      <t>モチ</t>
    </rPh>
    <rPh sb="79" eb="81">
      <t>バアイ</t>
    </rPh>
    <rPh sb="118" eb="119">
      <t>オナ</t>
    </rPh>
    <rPh sb="120" eb="121">
      <t>シキ</t>
    </rPh>
    <phoneticPr fontId="3"/>
  </si>
  <si>
    <t>業務用厨房熱機器等性能測定結果　【ガス機器】</t>
    <rPh sb="0" eb="3">
      <t>ギョウムヨウ</t>
    </rPh>
    <rPh sb="3" eb="5">
      <t>チュウボウ</t>
    </rPh>
    <rPh sb="5" eb="6">
      <t>ネツ</t>
    </rPh>
    <rPh sb="6" eb="8">
      <t>キキ</t>
    </rPh>
    <rPh sb="8" eb="9">
      <t>トウ</t>
    </rPh>
    <rPh sb="9" eb="11">
      <t>セイノウ</t>
    </rPh>
    <rPh sb="11" eb="13">
      <t>ソクテイ</t>
    </rPh>
    <rPh sb="13" eb="15">
      <t>ケッカ</t>
    </rPh>
    <rPh sb="19" eb="21">
      <t>キキ</t>
    </rPh>
    <phoneticPr fontId="3"/>
  </si>
  <si>
    <t>待機状態に達した時間までのガス消費量[kWh/回]</t>
    <rPh sb="0" eb="2">
      <t>タイキ</t>
    </rPh>
    <rPh sb="2" eb="4">
      <t>ジョウタイ</t>
    </rPh>
    <rPh sb="15" eb="18">
      <t>ショウヒリョウ</t>
    </rPh>
    <phoneticPr fontId="3"/>
  </si>
  <si>
    <r>
      <t>処理に要した時間</t>
    </r>
    <r>
      <rPr>
        <b/>
        <i/>
        <sz val="10"/>
        <rFont val="Century"/>
        <family val="1"/>
      </rPr>
      <t>T</t>
    </r>
    <r>
      <rPr>
        <b/>
        <vertAlign val="subscript"/>
        <sz val="10"/>
        <rFont val="Century"/>
        <family val="1"/>
      </rPr>
      <t>c</t>
    </r>
    <r>
      <rPr>
        <b/>
        <vertAlign val="subscript"/>
        <sz val="10"/>
        <rFont val="ＭＳ Ｐゴシック"/>
        <family val="3"/>
        <charset val="128"/>
      </rPr>
      <t>　</t>
    </r>
    <r>
      <rPr>
        <b/>
        <sz val="10"/>
        <rFont val="Century"/>
        <family val="1"/>
      </rPr>
      <t>[s/</t>
    </r>
    <r>
      <rPr>
        <b/>
        <sz val="10"/>
        <rFont val="ＭＳ Ｐゴシック"/>
        <family val="3"/>
        <charset val="128"/>
      </rPr>
      <t>回</t>
    </r>
    <r>
      <rPr>
        <b/>
        <sz val="10"/>
        <rFont val="Century"/>
        <family val="1"/>
      </rPr>
      <t>]</t>
    </r>
    <r>
      <rPr>
        <b/>
        <sz val="10"/>
        <rFont val="ＭＳ Ｐゴシック"/>
        <family val="3"/>
        <charset val="128"/>
      </rPr>
      <t>は次式の最大値とする。</t>
    </r>
    <rPh sb="17" eb="18">
      <t>ジ</t>
    </rPh>
    <rPh sb="18" eb="19">
      <t>シキ</t>
    </rPh>
    <rPh sb="20" eb="23">
      <t>サイダイチ</t>
    </rPh>
    <phoneticPr fontId="3"/>
  </si>
  <si>
    <r>
      <t>連続処理能力</t>
    </r>
    <r>
      <rPr>
        <b/>
        <i/>
        <sz val="10"/>
        <rFont val="Century"/>
        <family val="1"/>
      </rPr>
      <t>V</t>
    </r>
    <r>
      <rPr>
        <b/>
        <vertAlign val="subscript"/>
        <sz val="10"/>
        <rFont val="Century"/>
        <family val="1"/>
      </rPr>
      <t xml:space="preserve">c </t>
    </r>
    <r>
      <rPr>
        <b/>
        <sz val="10"/>
        <rFont val="Century"/>
        <family val="1"/>
      </rPr>
      <t>[</t>
    </r>
    <r>
      <rPr>
        <b/>
        <sz val="10"/>
        <rFont val="ＭＳ Ｐゴシック"/>
        <family val="3"/>
        <charset val="128"/>
      </rPr>
      <t>ラック</t>
    </r>
    <r>
      <rPr>
        <b/>
        <sz val="10"/>
        <rFont val="Century"/>
        <family val="1"/>
      </rPr>
      <t>/h]</t>
    </r>
    <r>
      <rPr>
        <b/>
        <sz val="10"/>
        <rFont val="ＭＳ Ｐゴシック"/>
        <family val="3"/>
        <charset val="128"/>
      </rPr>
      <t>は、次式で計算する。</t>
    </r>
    <rPh sb="0" eb="2">
      <t>レンゾク</t>
    </rPh>
    <rPh sb="21" eb="23">
      <t>ケイサン</t>
    </rPh>
    <phoneticPr fontId="3"/>
  </si>
  <si>
    <t>ただし、電気を仕上げすすぎタンクの加熱用熱源として
使用しない場合の処理時消費電力は、</t>
    <phoneticPr fontId="3"/>
  </si>
  <si>
    <t>処理量を想定した日あたり消費電力を計算する。</t>
    <rPh sb="0" eb="2">
      <t>ショリ</t>
    </rPh>
    <rPh sb="4" eb="6">
      <t>ソウテイ</t>
    </rPh>
    <phoneticPr fontId="3"/>
  </si>
  <si>
    <t>ただし、電気を仕上げすすぎタンクの加熱用熱源として
使用しない場合の処理時消費電力は、</t>
    <phoneticPr fontId="3"/>
  </si>
  <si>
    <t>性能測定結果</t>
    <rPh sb="2" eb="4">
      <t>ソクテイ</t>
    </rPh>
    <rPh sb="4" eb="6">
      <t>ケッカ</t>
    </rPh>
    <phoneticPr fontId="3"/>
  </si>
  <si>
    <t>品　目</t>
    <rPh sb="0" eb="1">
      <t>シナ</t>
    </rPh>
    <rPh sb="2" eb="3">
      <t>メ</t>
    </rPh>
    <phoneticPr fontId="3"/>
  </si>
  <si>
    <r>
      <t>p</t>
    </r>
    <r>
      <rPr>
        <vertAlign val="subscript"/>
        <sz val="14"/>
        <rFont val="Cambria"/>
        <family val="1"/>
      </rPr>
      <t>rG</t>
    </r>
    <phoneticPr fontId="3"/>
  </si>
  <si>
    <r>
      <t>p</t>
    </r>
    <r>
      <rPr>
        <vertAlign val="subscript"/>
        <sz val="14"/>
        <rFont val="Cambria"/>
        <family val="1"/>
      </rPr>
      <t>rE</t>
    </r>
    <phoneticPr fontId="3"/>
  </si>
  <si>
    <r>
      <rPr>
        <i/>
        <sz val="14"/>
        <rFont val="Cambria"/>
        <family val="1"/>
      </rPr>
      <t>T</t>
    </r>
    <r>
      <rPr>
        <vertAlign val="subscript"/>
        <sz val="14"/>
        <rFont val="Cambria"/>
        <family val="1"/>
      </rPr>
      <t>s</t>
    </r>
    <phoneticPr fontId="3"/>
  </si>
  <si>
    <r>
      <t>V</t>
    </r>
    <r>
      <rPr>
        <vertAlign val="subscript"/>
        <sz val="14"/>
        <rFont val="Cambria"/>
        <family val="1"/>
      </rPr>
      <t>c</t>
    </r>
    <phoneticPr fontId="3"/>
  </si>
  <si>
    <r>
      <rPr>
        <i/>
        <sz val="14"/>
        <rFont val="Cambria"/>
        <family val="1"/>
      </rPr>
      <t>Q</t>
    </r>
    <r>
      <rPr>
        <vertAlign val="subscript"/>
        <sz val="14"/>
        <rFont val="Cambria"/>
        <family val="1"/>
      </rPr>
      <t>sG</t>
    </r>
    <phoneticPr fontId="3"/>
  </si>
  <si>
    <r>
      <rPr>
        <i/>
        <sz val="14"/>
        <rFont val="Cambria"/>
        <family val="1"/>
      </rPr>
      <t>Q</t>
    </r>
    <r>
      <rPr>
        <vertAlign val="subscript"/>
        <sz val="14"/>
        <rFont val="Cambria"/>
        <family val="1"/>
      </rPr>
      <t>sE</t>
    </r>
    <phoneticPr fontId="3"/>
  </si>
  <si>
    <r>
      <rPr>
        <i/>
        <sz val="14"/>
        <rFont val="Cambria"/>
        <family val="1"/>
      </rPr>
      <t>Q</t>
    </r>
    <r>
      <rPr>
        <vertAlign val="subscript"/>
        <sz val="14"/>
        <rFont val="Cambria"/>
        <family val="1"/>
      </rPr>
      <t>srE</t>
    </r>
    <phoneticPr fontId="3"/>
  </si>
  <si>
    <r>
      <rPr>
        <i/>
        <sz val="14"/>
        <rFont val="Cambria"/>
        <family val="1"/>
      </rPr>
      <t>Q</t>
    </r>
    <r>
      <rPr>
        <vertAlign val="subscript"/>
        <sz val="14"/>
        <rFont val="Cambria"/>
        <family val="1"/>
      </rPr>
      <t>cG</t>
    </r>
    <phoneticPr fontId="3"/>
  </si>
  <si>
    <r>
      <rPr>
        <i/>
        <sz val="14"/>
        <rFont val="Cambria"/>
        <family val="1"/>
      </rPr>
      <t>Q</t>
    </r>
    <r>
      <rPr>
        <vertAlign val="subscript"/>
        <sz val="14"/>
        <rFont val="Cambria"/>
        <family val="1"/>
      </rPr>
      <t>cE</t>
    </r>
    <phoneticPr fontId="3"/>
  </si>
  <si>
    <r>
      <rPr>
        <i/>
        <sz val="14"/>
        <rFont val="Cambria"/>
        <family val="1"/>
      </rPr>
      <t>Q</t>
    </r>
    <r>
      <rPr>
        <vertAlign val="subscript"/>
        <sz val="14"/>
        <rFont val="Cambria"/>
        <family val="1"/>
      </rPr>
      <t>iG</t>
    </r>
    <phoneticPr fontId="3"/>
  </si>
  <si>
    <r>
      <rPr>
        <i/>
        <sz val="14"/>
        <rFont val="Cambria"/>
        <family val="1"/>
      </rPr>
      <t>Q</t>
    </r>
    <r>
      <rPr>
        <vertAlign val="subscript"/>
        <sz val="14"/>
        <rFont val="Cambria"/>
        <family val="1"/>
      </rPr>
      <t>iE</t>
    </r>
    <phoneticPr fontId="3"/>
  </si>
  <si>
    <r>
      <t>Q</t>
    </r>
    <r>
      <rPr>
        <vertAlign val="subscript"/>
        <sz val="14"/>
        <rFont val="Cambria"/>
        <family val="1"/>
      </rPr>
      <t>dVG</t>
    </r>
    <phoneticPr fontId="3"/>
  </si>
  <si>
    <r>
      <t>Q</t>
    </r>
    <r>
      <rPr>
        <vertAlign val="subscript"/>
        <sz val="14"/>
        <rFont val="Cambria"/>
        <family val="1"/>
      </rPr>
      <t>dVE</t>
    </r>
    <phoneticPr fontId="3"/>
  </si>
  <si>
    <r>
      <t>W</t>
    </r>
    <r>
      <rPr>
        <vertAlign val="subscript"/>
        <sz val="14"/>
        <rFont val="Cambria"/>
        <family val="1"/>
      </rPr>
      <t>s</t>
    </r>
    <phoneticPr fontId="3"/>
  </si>
  <si>
    <r>
      <t>W</t>
    </r>
    <r>
      <rPr>
        <vertAlign val="subscript"/>
        <sz val="14"/>
        <rFont val="Cambria"/>
        <family val="1"/>
      </rPr>
      <t>c</t>
    </r>
    <phoneticPr fontId="3"/>
  </si>
  <si>
    <r>
      <t>W</t>
    </r>
    <r>
      <rPr>
        <vertAlign val="subscript"/>
        <sz val="14"/>
        <rFont val="Cambria"/>
        <family val="1"/>
      </rPr>
      <t>dV</t>
    </r>
    <phoneticPr fontId="3"/>
  </si>
  <si>
    <r>
      <rPr>
        <i/>
        <sz val="10"/>
        <rFont val="Cambria"/>
        <family val="1"/>
      </rPr>
      <t>U</t>
    </r>
    <r>
      <rPr>
        <i/>
        <vertAlign val="subscript"/>
        <sz val="10"/>
        <rFont val="Cambria"/>
        <family val="1"/>
      </rPr>
      <t>G</t>
    </r>
    <r>
      <rPr>
        <sz val="10"/>
        <rFont val="Cambria"/>
        <family val="1"/>
      </rPr>
      <t>=</t>
    </r>
    <phoneticPr fontId="3"/>
  </si>
  <si>
    <r>
      <rPr>
        <i/>
        <sz val="11"/>
        <rFont val="Cambria"/>
        <family val="1"/>
      </rPr>
      <t>p</t>
    </r>
    <r>
      <rPr>
        <vertAlign val="subscript"/>
        <sz val="11"/>
        <rFont val="Cambria"/>
        <family val="1"/>
      </rPr>
      <t>xG</t>
    </r>
    <r>
      <rPr>
        <sz val="11"/>
        <rFont val="Cambria"/>
        <family val="1"/>
      </rPr>
      <t xml:space="preserve"> </t>
    </r>
    <r>
      <rPr>
        <sz val="11"/>
        <rFont val="ＭＳ Ｐゴシック"/>
        <family val="3"/>
        <charset val="128"/>
      </rPr>
      <t>：</t>
    </r>
    <r>
      <rPr>
        <sz val="11"/>
        <rFont val="Cambria"/>
        <family val="1"/>
      </rPr>
      <t xml:space="preserve"> </t>
    </r>
    <r>
      <rPr>
        <sz val="11"/>
        <rFont val="ＭＳ Ｐゴシック"/>
        <family val="3"/>
        <charset val="128"/>
      </rPr>
      <t>試験機器の最大ガス消費量[ｋW]</t>
    </r>
    <rPh sb="11" eb="13">
      <t>サイダイ</t>
    </rPh>
    <rPh sb="15" eb="17">
      <t>ショウヒ</t>
    </rPh>
    <rPh sb="17" eb="18">
      <t>リョウ</t>
    </rPh>
    <phoneticPr fontId="3"/>
  </si>
  <si>
    <r>
      <rPr>
        <i/>
        <sz val="11"/>
        <rFont val="Cambria"/>
        <family val="1"/>
      </rPr>
      <t>p</t>
    </r>
    <r>
      <rPr>
        <vertAlign val="subscript"/>
        <sz val="11"/>
        <rFont val="Cambria"/>
        <family val="1"/>
      </rPr>
      <t>xG</t>
    </r>
    <r>
      <rPr>
        <sz val="11"/>
        <rFont val="Cambria"/>
        <family val="1"/>
      </rPr>
      <t xml:space="preserve"> =</t>
    </r>
    <phoneticPr fontId="3"/>
  </si>
  <si>
    <r>
      <rPr>
        <i/>
        <sz val="11"/>
        <rFont val="Cambria"/>
        <family val="1"/>
      </rPr>
      <t>p</t>
    </r>
    <r>
      <rPr>
        <vertAlign val="subscript"/>
        <sz val="11"/>
        <rFont val="Cambria"/>
        <family val="1"/>
      </rPr>
      <t>rG</t>
    </r>
    <r>
      <rPr>
        <sz val="11"/>
        <rFont val="Cambria"/>
        <family val="1"/>
      </rPr>
      <t xml:space="preserve"> </t>
    </r>
    <r>
      <rPr>
        <sz val="11"/>
        <rFont val="ＭＳ Ｐゴシック"/>
        <family val="3"/>
        <charset val="128"/>
      </rPr>
      <t>：</t>
    </r>
    <r>
      <rPr>
        <sz val="11"/>
        <rFont val="Cambria"/>
        <family val="1"/>
      </rPr>
      <t xml:space="preserve"> </t>
    </r>
    <r>
      <rPr>
        <sz val="11"/>
        <rFont val="ＭＳ Ｐゴシック"/>
        <family val="3"/>
        <charset val="128"/>
      </rPr>
      <t>定格エネルギー消費量（ガス）[kW]</t>
    </r>
    <rPh sb="13" eb="15">
      <t>ショウヒ</t>
    </rPh>
    <rPh sb="15" eb="16">
      <t>リョウ</t>
    </rPh>
    <phoneticPr fontId="3"/>
  </si>
  <si>
    <r>
      <t>　試験機器の最大ガス消費量と定格エネルギー消費量（ガス）の差：</t>
    </r>
    <r>
      <rPr>
        <b/>
        <i/>
        <sz val="11"/>
        <rFont val="Cambria"/>
        <family val="1"/>
      </rPr>
      <t>ε</t>
    </r>
    <r>
      <rPr>
        <b/>
        <i/>
        <vertAlign val="subscript"/>
        <sz val="11"/>
        <rFont val="Cambria"/>
        <family val="1"/>
      </rPr>
      <t>p</t>
    </r>
    <r>
      <rPr>
        <b/>
        <sz val="11"/>
        <rFont val="ＭＳ Ｐゴシック"/>
        <family val="3"/>
        <charset val="128"/>
      </rPr>
      <t>[%]</t>
    </r>
    <rPh sb="1" eb="3">
      <t>シケン</t>
    </rPh>
    <rPh sb="3" eb="5">
      <t>キキ</t>
    </rPh>
    <rPh sb="6" eb="8">
      <t>サイダイ</t>
    </rPh>
    <rPh sb="10" eb="13">
      <t>ショウヒリョウ</t>
    </rPh>
    <rPh sb="14" eb="16">
      <t>テイカク</t>
    </rPh>
    <rPh sb="21" eb="24">
      <t>ショウヒリョウ</t>
    </rPh>
    <rPh sb="29" eb="30">
      <t>サ</t>
    </rPh>
    <phoneticPr fontId="3"/>
  </si>
  <si>
    <r>
      <rPr>
        <i/>
        <sz val="11"/>
        <rFont val="Cambria"/>
        <family val="1"/>
      </rPr>
      <t>p</t>
    </r>
    <r>
      <rPr>
        <vertAlign val="subscript"/>
        <sz val="11"/>
        <rFont val="Cambria"/>
        <family val="1"/>
      </rPr>
      <t>xE</t>
    </r>
    <r>
      <rPr>
        <sz val="11"/>
        <rFont val="Cambria"/>
        <family val="1"/>
      </rPr>
      <t xml:space="preserve"> </t>
    </r>
    <r>
      <rPr>
        <sz val="11"/>
        <rFont val="ＭＳ Ｐゴシック"/>
        <family val="3"/>
        <charset val="128"/>
      </rPr>
      <t>：</t>
    </r>
    <r>
      <rPr>
        <sz val="11"/>
        <rFont val="Cambria"/>
        <family val="1"/>
      </rPr>
      <t xml:space="preserve"> </t>
    </r>
    <r>
      <rPr>
        <sz val="11"/>
        <rFont val="ＭＳ Ｐゴシック"/>
        <family val="3"/>
        <charset val="128"/>
      </rPr>
      <t>試験機器の最大消費電力[ｋW]</t>
    </r>
    <rPh sb="11" eb="13">
      <t>サイダイ</t>
    </rPh>
    <rPh sb="13" eb="15">
      <t>ショウヒ</t>
    </rPh>
    <rPh sb="15" eb="17">
      <t>デンリョク</t>
    </rPh>
    <phoneticPr fontId="3"/>
  </si>
  <si>
    <r>
      <rPr>
        <i/>
        <sz val="11"/>
        <rFont val="Cambria"/>
        <family val="1"/>
      </rPr>
      <t>p</t>
    </r>
    <r>
      <rPr>
        <vertAlign val="subscript"/>
        <sz val="11"/>
        <rFont val="Cambria"/>
        <family val="1"/>
      </rPr>
      <t>rE</t>
    </r>
    <r>
      <rPr>
        <sz val="11"/>
        <rFont val="Cambria"/>
        <family val="1"/>
      </rPr>
      <t xml:space="preserve"> </t>
    </r>
    <r>
      <rPr>
        <sz val="11"/>
        <rFont val="ＭＳ Ｐゴシック"/>
        <family val="3"/>
        <charset val="128"/>
      </rPr>
      <t>：</t>
    </r>
    <r>
      <rPr>
        <sz val="11"/>
        <rFont val="Cambria"/>
        <family val="1"/>
      </rPr>
      <t xml:space="preserve"> </t>
    </r>
    <r>
      <rPr>
        <sz val="11"/>
        <rFont val="ＭＳ Ｐゴシック"/>
        <family val="3"/>
        <charset val="128"/>
      </rPr>
      <t>定格消費電力[kW]</t>
    </r>
    <phoneticPr fontId="3"/>
  </si>
  <si>
    <r>
      <rPr>
        <i/>
        <sz val="11"/>
        <rFont val="Cambria"/>
        <family val="1"/>
      </rPr>
      <t>ε</t>
    </r>
    <r>
      <rPr>
        <vertAlign val="subscript"/>
        <sz val="11"/>
        <rFont val="Cambria"/>
        <family val="1"/>
      </rPr>
      <t xml:space="preserve">p </t>
    </r>
    <r>
      <rPr>
        <sz val="11"/>
        <rFont val="ＭＳ Ｐゴシック"/>
        <family val="3"/>
        <charset val="128"/>
      </rPr>
      <t>：</t>
    </r>
    <r>
      <rPr>
        <sz val="11"/>
        <rFont val="Cambria"/>
        <family val="1"/>
      </rPr>
      <t xml:space="preserve"> </t>
    </r>
    <r>
      <rPr>
        <sz val="11"/>
        <rFont val="ＭＳ Ｐゴシック"/>
        <family val="3"/>
        <charset val="128"/>
      </rPr>
      <t>試験機器の最大消費電力と
　　　　　　　　　　　定格消費電力の差</t>
    </r>
    <rPh sb="10" eb="12">
      <t>サイダイ</t>
    </rPh>
    <rPh sb="12" eb="14">
      <t>ショウヒ</t>
    </rPh>
    <rPh sb="14" eb="16">
      <t>デンリョク</t>
    </rPh>
    <rPh sb="29" eb="31">
      <t>テイカク</t>
    </rPh>
    <rPh sb="31" eb="33">
      <t>ショウヒ</t>
    </rPh>
    <rPh sb="33" eb="34">
      <t>デン</t>
    </rPh>
    <rPh sb="34" eb="35">
      <t>リョク</t>
    </rPh>
    <rPh sb="36" eb="37">
      <t>サ</t>
    </rPh>
    <phoneticPr fontId="3"/>
  </si>
  <si>
    <r>
      <rPr>
        <i/>
        <sz val="11"/>
        <rFont val="Cambria"/>
        <family val="1"/>
      </rPr>
      <t>p</t>
    </r>
    <r>
      <rPr>
        <vertAlign val="subscript"/>
        <sz val="11"/>
        <rFont val="Cambria"/>
        <family val="1"/>
      </rPr>
      <t>xE</t>
    </r>
    <r>
      <rPr>
        <sz val="11"/>
        <rFont val="Cambria"/>
        <family val="1"/>
      </rPr>
      <t xml:space="preserve"> =</t>
    </r>
    <phoneticPr fontId="3"/>
  </si>
  <si>
    <r>
      <rPr>
        <i/>
        <sz val="11"/>
        <rFont val="Cambria"/>
        <family val="1"/>
      </rPr>
      <t>ε</t>
    </r>
    <r>
      <rPr>
        <vertAlign val="subscript"/>
        <sz val="11"/>
        <rFont val="Cambria"/>
        <family val="1"/>
      </rPr>
      <t>p</t>
    </r>
    <r>
      <rPr>
        <sz val="11"/>
        <rFont val="Cambria"/>
        <family val="1"/>
      </rPr>
      <t xml:space="preserve"> =</t>
    </r>
    <phoneticPr fontId="3"/>
  </si>
  <si>
    <r>
      <t>T</t>
    </r>
    <r>
      <rPr>
        <vertAlign val="subscript"/>
        <sz val="10"/>
        <rFont val="Cambria"/>
        <family val="1"/>
      </rPr>
      <t xml:space="preserve">2 </t>
    </r>
    <r>
      <rPr>
        <sz val="10"/>
        <rFont val="Cambria"/>
        <family val="1"/>
      </rPr>
      <t xml:space="preserve"> =</t>
    </r>
    <phoneticPr fontId="3"/>
  </si>
  <si>
    <r>
      <t>T</t>
    </r>
    <r>
      <rPr>
        <vertAlign val="subscript"/>
        <sz val="10"/>
        <rFont val="Cambria"/>
        <family val="1"/>
      </rPr>
      <t>s</t>
    </r>
    <r>
      <rPr>
        <sz val="10"/>
        <rFont val="Cambria"/>
        <family val="1"/>
      </rPr>
      <t xml:space="preserve"> =</t>
    </r>
    <phoneticPr fontId="3"/>
  </si>
  <si>
    <r>
      <t>T</t>
    </r>
    <r>
      <rPr>
        <vertAlign val="subscript"/>
        <sz val="10"/>
        <rFont val="Cambria"/>
        <family val="1"/>
      </rPr>
      <t xml:space="preserve">3 </t>
    </r>
    <r>
      <rPr>
        <sz val="10"/>
        <rFont val="Cambria"/>
        <family val="1"/>
      </rPr>
      <t xml:space="preserve"> =</t>
    </r>
    <phoneticPr fontId="3"/>
  </si>
  <si>
    <r>
      <rPr>
        <i/>
        <sz val="10"/>
        <rFont val="Cambria"/>
        <family val="1"/>
      </rPr>
      <t>T</t>
    </r>
    <r>
      <rPr>
        <vertAlign val="subscript"/>
        <sz val="10"/>
        <rFont val="Cambria"/>
        <family val="1"/>
      </rPr>
      <t xml:space="preserve">2 </t>
    </r>
    <r>
      <rPr>
        <sz val="10"/>
        <rFont val="Cambria"/>
        <family val="1"/>
      </rPr>
      <t>,</t>
    </r>
    <r>
      <rPr>
        <i/>
        <sz val="10"/>
        <rFont val="Cambria"/>
        <family val="1"/>
      </rPr>
      <t>T</t>
    </r>
    <r>
      <rPr>
        <vertAlign val="subscript"/>
        <sz val="10"/>
        <rFont val="Cambria"/>
        <family val="1"/>
      </rPr>
      <t xml:space="preserve">3 </t>
    </r>
    <r>
      <rPr>
        <sz val="10"/>
        <rFont val="ＭＳ Ｐゴシック"/>
        <family val="3"/>
        <charset val="128"/>
      </rPr>
      <t>の最大値</t>
    </r>
    <rPh sb="8" eb="11">
      <t>サイダイチ</t>
    </rPh>
    <phoneticPr fontId="3"/>
  </si>
  <si>
    <r>
      <t>P</t>
    </r>
    <r>
      <rPr>
        <i/>
        <vertAlign val="subscript"/>
        <sz val="11"/>
        <rFont val="Cambria"/>
        <family val="1"/>
      </rPr>
      <t>sG</t>
    </r>
    <r>
      <rPr>
        <i/>
        <sz val="11"/>
        <rFont val="Cambria"/>
        <family val="1"/>
      </rPr>
      <t xml:space="preserve"> =</t>
    </r>
    <phoneticPr fontId="3"/>
  </si>
  <si>
    <r>
      <t>P</t>
    </r>
    <r>
      <rPr>
        <vertAlign val="subscript"/>
        <sz val="11"/>
        <rFont val="Cambria"/>
        <family val="1"/>
      </rPr>
      <t xml:space="preserve">sE </t>
    </r>
    <r>
      <rPr>
        <sz val="11"/>
        <rFont val="Cambria"/>
        <family val="1"/>
      </rPr>
      <t xml:space="preserve"> =</t>
    </r>
    <phoneticPr fontId="3"/>
  </si>
  <si>
    <r>
      <rPr>
        <i/>
        <sz val="10"/>
        <rFont val="Cambria"/>
        <family val="1"/>
      </rPr>
      <t>P</t>
    </r>
    <r>
      <rPr>
        <vertAlign val="subscript"/>
        <sz val="10"/>
        <rFont val="Cambria"/>
        <family val="1"/>
      </rPr>
      <t>sG</t>
    </r>
    <r>
      <rPr>
        <sz val="10"/>
        <rFont val="Cambria"/>
        <family val="1"/>
      </rPr>
      <t xml:space="preserve"> </t>
    </r>
    <r>
      <rPr>
        <sz val="10"/>
        <rFont val="ＭＳ Ｐゴシック"/>
        <family val="3"/>
        <charset val="128"/>
      </rPr>
      <t>：待機状態に達した時間までのガス消費量[kWh/回]</t>
    </r>
    <rPh sb="5" eb="7">
      <t>タイキ</t>
    </rPh>
    <rPh sb="7" eb="9">
      <t>ジョウタイ</t>
    </rPh>
    <rPh sb="20" eb="23">
      <t>ショウヒリョウ</t>
    </rPh>
    <phoneticPr fontId="3"/>
  </si>
  <si>
    <r>
      <rPr>
        <i/>
        <sz val="10"/>
        <rFont val="Cambria"/>
        <family val="1"/>
      </rPr>
      <t>T</t>
    </r>
    <r>
      <rPr>
        <vertAlign val="subscript"/>
        <sz val="10"/>
        <rFont val="Cambria"/>
        <family val="1"/>
      </rPr>
      <t xml:space="preserve">1 </t>
    </r>
    <r>
      <rPr>
        <sz val="10"/>
        <rFont val="Cambria"/>
        <family val="1"/>
      </rPr>
      <t>:</t>
    </r>
    <r>
      <rPr>
        <sz val="10"/>
        <rFont val="ＭＳ Ｐゴシック"/>
        <family val="3"/>
        <charset val="128"/>
      </rPr>
      <t xml:space="preserve"> 洗浄タンクが満水に達した時間[min]</t>
    </r>
    <phoneticPr fontId="3"/>
  </si>
  <si>
    <r>
      <rPr>
        <i/>
        <sz val="10"/>
        <rFont val="Cambria"/>
        <family val="1"/>
      </rPr>
      <t>T</t>
    </r>
    <r>
      <rPr>
        <vertAlign val="subscript"/>
        <sz val="10"/>
        <rFont val="Cambria"/>
        <family val="1"/>
      </rPr>
      <t xml:space="preserve">2 </t>
    </r>
    <r>
      <rPr>
        <sz val="10"/>
        <rFont val="Cambria"/>
        <family val="1"/>
      </rPr>
      <t xml:space="preserve">: </t>
    </r>
    <r>
      <rPr>
        <sz val="10"/>
        <rFont val="ＭＳ Ｐゴシック"/>
        <family val="3"/>
        <charset val="128"/>
      </rPr>
      <t>洗浄タンクが60 ℃以上の満水に達した時間[min]</t>
    </r>
    <phoneticPr fontId="3"/>
  </si>
  <si>
    <r>
      <rPr>
        <i/>
        <sz val="10"/>
        <rFont val="Cambria"/>
        <family val="1"/>
      </rPr>
      <t>T</t>
    </r>
    <r>
      <rPr>
        <vertAlign val="subscript"/>
        <sz val="10"/>
        <rFont val="Cambria"/>
        <family val="1"/>
      </rPr>
      <t>s</t>
    </r>
    <r>
      <rPr>
        <sz val="10"/>
        <rFont val="Cambria"/>
        <family val="1"/>
      </rPr>
      <t xml:space="preserve"> : </t>
    </r>
    <r>
      <rPr>
        <sz val="10"/>
        <rFont val="ＭＳ Ｐゴシック"/>
        <family val="3"/>
        <charset val="128"/>
      </rPr>
      <t>立上り性能[min]</t>
    </r>
    <phoneticPr fontId="3"/>
  </si>
  <si>
    <r>
      <t>T</t>
    </r>
    <r>
      <rPr>
        <vertAlign val="subscript"/>
        <sz val="10"/>
        <rFont val="ＭＳ Ｐ明朝"/>
        <family val="1"/>
        <charset val="128"/>
      </rPr>
      <t>１</t>
    </r>
    <r>
      <rPr>
        <vertAlign val="subscript"/>
        <sz val="10"/>
        <rFont val="Cambria"/>
        <family val="1"/>
      </rPr>
      <t xml:space="preserve"> </t>
    </r>
    <r>
      <rPr>
        <sz val="10"/>
        <rFont val="Cambria"/>
        <family val="1"/>
      </rPr>
      <t xml:space="preserve"> =</t>
    </r>
    <phoneticPr fontId="3"/>
  </si>
  <si>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平均値 =</t>
    </r>
    <rPh sb="3" eb="6">
      <t>ヘイキンチ</t>
    </rPh>
    <phoneticPr fontId="3"/>
  </si>
  <si>
    <r>
      <rPr>
        <i/>
        <sz val="10"/>
        <rFont val="Cambria"/>
        <family val="1"/>
      </rPr>
      <t>T</t>
    </r>
    <r>
      <rPr>
        <vertAlign val="subscript"/>
        <sz val="10"/>
        <rFont val="Cambria"/>
        <family val="1"/>
      </rPr>
      <t>3</t>
    </r>
    <r>
      <rPr>
        <sz val="10"/>
        <rFont val="Cambria"/>
        <family val="1"/>
      </rPr>
      <t xml:space="preserve"> </t>
    </r>
    <r>
      <rPr>
        <sz val="10"/>
        <rFont val="ＭＳ Ｐゴシック"/>
        <family val="3"/>
        <charset val="128"/>
      </rPr>
      <t>：仕上げすすぎタンクが80 ℃に達した時間[min]</t>
    </r>
    <phoneticPr fontId="3"/>
  </si>
  <si>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：立上り性能[min]</t>
    </r>
    <phoneticPr fontId="3"/>
  </si>
  <si>
    <r>
      <t>T</t>
    </r>
    <r>
      <rPr>
        <vertAlign val="subscript"/>
        <sz val="10"/>
        <rFont val="Cambria"/>
        <family val="1"/>
      </rPr>
      <t xml:space="preserve">s </t>
    </r>
    <r>
      <rPr>
        <sz val="10"/>
        <rFont val="Cambria"/>
        <family val="1"/>
      </rPr>
      <t xml:space="preserve"> =</t>
    </r>
    <phoneticPr fontId="3"/>
  </si>
  <si>
    <r>
      <rPr>
        <i/>
        <sz val="10"/>
        <rFont val="Cambria"/>
        <family val="1"/>
      </rPr>
      <t>T</t>
    </r>
    <r>
      <rPr>
        <vertAlign val="subscript"/>
        <sz val="10"/>
        <rFont val="Cambria"/>
        <family val="1"/>
      </rPr>
      <t xml:space="preserve">1 </t>
    </r>
    <r>
      <rPr>
        <i/>
        <sz val="10"/>
        <rFont val="Cambria"/>
        <family val="1"/>
      </rPr>
      <t>,T</t>
    </r>
    <r>
      <rPr>
        <vertAlign val="subscript"/>
        <sz val="10"/>
        <rFont val="Cambria"/>
        <family val="1"/>
      </rPr>
      <t xml:space="preserve">2 </t>
    </r>
    <r>
      <rPr>
        <sz val="10"/>
        <rFont val="Cambria"/>
        <family val="1"/>
      </rPr>
      <t>,</t>
    </r>
    <r>
      <rPr>
        <i/>
        <sz val="10"/>
        <rFont val="Cambria"/>
        <family val="1"/>
      </rPr>
      <t>T</t>
    </r>
    <r>
      <rPr>
        <vertAlign val="subscript"/>
        <sz val="10"/>
        <rFont val="Cambria"/>
        <family val="1"/>
      </rPr>
      <t xml:space="preserve">3 </t>
    </r>
    <r>
      <rPr>
        <sz val="10"/>
        <rFont val="ＭＳ Ｐゴシック"/>
        <family val="3"/>
        <charset val="128"/>
      </rPr>
      <t>の最大値</t>
    </r>
    <rPh sb="12" eb="15">
      <t>サイダイチ</t>
    </rPh>
    <phoneticPr fontId="3"/>
  </si>
  <si>
    <r>
      <t>上記2つの</t>
    </r>
    <r>
      <rPr>
        <i/>
        <sz val="10"/>
        <rFont val="Cambria"/>
        <family val="1"/>
      </rPr>
      <t>T</t>
    </r>
    <r>
      <rPr>
        <vertAlign val="subscript"/>
        <sz val="10"/>
        <rFont val="Cambria"/>
        <family val="1"/>
      </rPr>
      <t xml:space="preserve">s </t>
    </r>
    <r>
      <rPr>
        <sz val="10"/>
        <rFont val="ＭＳ Ｐゴシック"/>
        <family val="3"/>
        <charset val="128"/>
      </rPr>
      <t>平均値の大きい方を立上り性能とする。</t>
    </r>
    <rPh sb="0" eb="2">
      <t>ジョウキ</t>
    </rPh>
    <rPh sb="8" eb="11">
      <t>ヘイキンチ</t>
    </rPh>
    <rPh sb="12" eb="13">
      <t>オオ</t>
    </rPh>
    <rPh sb="15" eb="16">
      <t>ホウ</t>
    </rPh>
    <rPh sb="17" eb="19">
      <t>タチアガ</t>
    </rPh>
    <rPh sb="20" eb="22">
      <t>セイノウ</t>
    </rPh>
    <phoneticPr fontId="3"/>
  </si>
  <si>
    <r>
      <rPr>
        <i/>
        <sz val="12"/>
        <rFont val="Cambria"/>
        <family val="1"/>
      </rPr>
      <t>P</t>
    </r>
    <r>
      <rPr>
        <vertAlign val="subscript"/>
        <sz val="12"/>
        <rFont val="Cambria"/>
        <family val="1"/>
      </rPr>
      <t>sE</t>
    </r>
    <r>
      <rPr>
        <vertAlign val="subscript"/>
        <sz val="10"/>
        <rFont val="Cambria"/>
        <family val="1"/>
      </rPr>
      <t xml:space="preserve"> </t>
    </r>
    <r>
      <rPr>
        <sz val="10"/>
        <rFont val="Cambria"/>
        <family val="1"/>
      </rPr>
      <t xml:space="preserve"> =</t>
    </r>
    <phoneticPr fontId="3"/>
  </si>
  <si>
    <r>
      <rPr>
        <i/>
        <sz val="10"/>
        <rFont val="Cambria"/>
        <family val="1"/>
      </rPr>
      <t>T</t>
    </r>
    <r>
      <rPr>
        <vertAlign val="subscript"/>
        <sz val="10"/>
        <rFont val="Cambria"/>
        <family val="1"/>
      </rPr>
      <t xml:space="preserve">1 </t>
    </r>
    <r>
      <rPr>
        <sz val="10"/>
        <rFont val="ＭＳ Ｐゴシック"/>
        <family val="3"/>
        <charset val="128"/>
      </rPr>
      <t>: 洗浄タンクが満水に達した時間[min]</t>
    </r>
    <phoneticPr fontId="3"/>
  </si>
  <si>
    <r>
      <rPr>
        <i/>
        <sz val="10"/>
        <rFont val="Cambria"/>
        <family val="1"/>
      </rPr>
      <t>T</t>
    </r>
    <r>
      <rPr>
        <vertAlign val="subscript"/>
        <sz val="10"/>
        <rFont val="Cambria"/>
        <family val="1"/>
      </rPr>
      <t xml:space="preserve">2 </t>
    </r>
    <r>
      <rPr>
        <sz val="10"/>
        <rFont val="Cambria"/>
        <family val="1"/>
      </rPr>
      <t xml:space="preserve">: </t>
    </r>
    <r>
      <rPr>
        <sz val="10"/>
        <rFont val="ＭＳ Ｐゴシック"/>
        <family val="3"/>
        <charset val="128"/>
      </rPr>
      <t>洗浄タンクが60 ℃以上の満水に達した時間[min]</t>
    </r>
    <phoneticPr fontId="3"/>
  </si>
  <si>
    <r>
      <rPr>
        <i/>
        <sz val="10"/>
        <rFont val="Cambria"/>
        <family val="1"/>
      </rPr>
      <t>T</t>
    </r>
    <r>
      <rPr>
        <vertAlign val="subscript"/>
        <sz val="10"/>
        <rFont val="Cambria"/>
        <family val="1"/>
      </rPr>
      <t>s</t>
    </r>
    <r>
      <rPr>
        <sz val="10"/>
        <rFont val="Cambria"/>
        <family val="1"/>
      </rPr>
      <t xml:space="preserve"> : </t>
    </r>
    <r>
      <rPr>
        <sz val="10"/>
        <rFont val="ＭＳ Ｐゴシック"/>
        <family val="3"/>
        <charset val="128"/>
      </rPr>
      <t>立上り性能[min]</t>
    </r>
    <phoneticPr fontId="3"/>
  </si>
  <si>
    <r>
      <rPr>
        <i/>
        <sz val="10"/>
        <rFont val="Cambria"/>
        <family val="1"/>
      </rPr>
      <t>T</t>
    </r>
    <r>
      <rPr>
        <vertAlign val="subscript"/>
        <sz val="10"/>
        <rFont val="Cambria"/>
        <family val="1"/>
      </rPr>
      <t>3</t>
    </r>
    <r>
      <rPr>
        <sz val="10"/>
        <rFont val="Cambria"/>
        <family val="1"/>
      </rPr>
      <t xml:space="preserve"> </t>
    </r>
    <r>
      <rPr>
        <sz val="10"/>
        <rFont val="ＭＳ Ｐゴシック"/>
        <family val="3"/>
        <charset val="128"/>
      </rPr>
      <t>：仕上げすすぎタンクが80 ℃に達した時間[min]</t>
    </r>
    <phoneticPr fontId="3"/>
  </si>
  <si>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：立上り性能[min]</t>
    </r>
    <phoneticPr fontId="3"/>
  </si>
  <si>
    <r>
      <rPr>
        <i/>
        <sz val="11"/>
        <rFont val="Cambria"/>
        <family val="1"/>
      </rPr>
      <t>T</t>
    </r>
    <r>
      <rPr>
        <vertAlign val="subscript"/>
        <sz val="11"/>
        <rFont val="Cambria"/>
        <family val="1"/>
      </rPr>
      <t>s</t>
    </r>
    <r>
      <rPr>
        <sz val="11"/>
        <rFont val="Cambria"/>
        <family val="1"/>
      </rPr>
      <t xml:space="preserve"> </t>
    </r>
    <r>
      <rPr>
        <sz val="11"/>
        <rFont val="ＭＳ Ｐゴシック"/>
        <family val="3"/>
        <charset val="128"/>
      </rPr>
      <t>：立上り性能[min]</t>
    </r>
    <phoneticPr fontId="3"/>
  </si>
  <si>
    <r>
      <rPr>
        <i/>
        <sz val="10"/>
        <rFont val="Cambria"/>
        <family val="1"/>
      </rPr>
      <t>T</t>
    </r>
    <r>
      <rPr>
        <vertAlign val="subscript"/>
        <sz val="10"/>
        <rFont val="Cambria"/>
        <family val="1"/>
      </rPr>
      <t xml:space="preserve">p </t>
    </r>
    <r>
      <rPr>
        <sz val="10"/>
        <rFont val="Cambria"/>
        <family val="1"/>
      </rPr>
      <t xml:space="preserve">: </t>
    </r>
    <r>
      <rPr>
        <sz val="10"/>
        <rFont val="ＭＳ Ｐゴシック"/>
        <family val="3"/>
        <charset val="128"/>
      </rPr>
      <t>製造者の表示する標準洗浄サイクル[s]</t>
    </r>
    <phoneticPr fontId="3"/>
  </si>
  <si>
    <r>
      <rPr>
        <i/>
        <sz val="10"/>
        <rFont val="Cambria"/>
        <family val="1"/>
      </rPr>
      <t>T</t>
    </r>
    <r>
      <rPr>
        <vertAlign val="subscript"/>
        <sz val="10"/>
        <rFont val="Cambria"/>
        <family val="1"/>
      </rPr>
      <t xml:space="preserve">j </t>
    </r>
    <r>
      <rPr>
        <sz val="10"/>
        <rFont val="Cambria"/>
        <family val="1"/>
      </rPr>
      <t xml:space="preserve">: </t>
    </r>
    <r>
      <rPr>
        <sz val="10"/>
        <rFont val="ＭＳ Ｐゴシック"/>
        <family val="3"/>
        <charset val="128"/>
      </rPr>
      <t>出し入れ作業時間[s]</t>
    </r>
    <phoneticPr fontId="3"/>
  </si>
  <si>
    <r>
      <rPr>
        <i/>
        <sz val="10"/>
        <rFont val="Cambria"/>
        <family val="1"/>
      </rPr>
      <t>T</t>
    </r>
    <r>
      <rPr>
        <vertAlign val="subscript"/>
        <sz val="10"/>
        <rFont val="Cambria"/>
        <family val="1"/>
      </rPr>
      <t xml:space="preserve">r </t>
    </r>
    <r>
      <rPr>
        <sz val="10"/>
        <rFont val="ＭＳ Ｐゴシック"/>
        <family val="3"/>
        <charset val="128"/>
      </rPr>
      <t>：すすぎ終了後に洗浄タンクが60 ℃に復帰した時間[s]</t>
    </r>
    <phoneticPr fontId="3"/>
  </si>
  <si>
    <r>
      <rPr>
        <i/>
        <sz val="10"/>
        <rFont val="Cambria"/>
        <family val="1"/>
      </rPr>
      <t>V</t>
    </r>
    <r>
      <rPr>
        <i/>
        <vertAlign val="subscript"/>
        <sz val="10"/>
        <rFont val="Cambria"/>
        <family val="1"/>
      </rPr>
      <t>m</t>
    </r>
    <r>
      <rPr>
        <sz val="10"/>
        <rFont val="Cambria"/>
        <family val="1"/>
      </rPr>
      <t>=</t>
    </r>
    <phoneticPr fontId="3"/>
  </si>
  <si>
    <r>
      <t>T</t>
    </r>
    <r>
      <rPr>
        <vertAlign val="subscript"/>
        <sz val="10"/>
        <rFont val="Cambria"/>
        <family val="1"/>
      </rPr>
      <t xml:space="preserve">p </t>
    </r>
    <r>
      <rPr>
        <sz val="10"/>
        <rFont val="Cambria"/>
        <family val="1"/>
      </rPr>
      <t>=</t>
    </r>
    <phoneticPr fontId="3"/>
  </si>
  <si>
    <r>
      <t>T</t>
    </r>
    <r>
      <rPr>
        <vertAlign val="subscript"/>
        <sz val="10"/>
        <rFont val="Cambria"/>
        <family val="1"/>
      </rPr>
      <t xml:space="preserve">j </t>
    </r>
    <r>
      <rPr>
        <sz val="10"/>
        <rFont val="Cambria"/>
        <family val="1"/>
      </rPr>
      <t>=</t>
    </r>
    <phoneticPr fontId="3"/>
  </si>
  <si>
    <r>
      <t>T</t>
    </r>
    <r>
      <rPr>
        <vertAlign val="subscript"/>
        <sz val="10"/>
        <rFont val="Cambria"/>
        <family val="1"/>
      </rPr>
      <t xml:space="preserve">jo </t>
    </r>
    <r>
      <rPr>
        <sz val="10"/>
        <rFont val="Cambria"/>
        <family val="1"/>
      </rPr>
      <t>=</t>
    </r>
    <phoneticPr fontId="3"/>
  </si>
  <si>
    <r>
      <rPr>
        <i/>
        <sz val="10"/>
        <rFont val="Cambria"/>
        <family val="1"/>
      </rPr>
      <t>T</t>
    </r>
    <r>
      <rPr>
        <vertAlign val="subscript"/>
        <sz val="10"/>
        <rFont val="Cambria"/>
        <family val="1"/>
      </rPr>
      <t xml:space="preserve">j0 </t>
    </r>
    <r>
      <rPr>
        <sz val="10"/>
        <rFont val="Cambria"/>
        <family val="1"/>
      </rPr>
      <t xml:space="preserve">: </t>
    </r>
    <r>
      <rPr>
        <sz val="9"/>
        <rFont val="ＭＳ Ｐゴシック"/>
        <family val="3"/>
        <charset val="128"/>
      </rPr>
      <t>出し入れ作業の最短時間[s] 標準値は5s</t>
    </r>
    <rPh sb="21" eb="24">
      <t>ヒョウジュンチ</t>
    </rPh>
    <phoneticPr fontId="3"/>
  </si>
  <si>
    <r>
      <t>T</t>
    </r>
    <r>
      <rPr>
        <vertAlign val="subscript"/>
        <sz val="10"/>
        <rFont val="Cambria"/>
        <family val="1"/>
      </rPr>
      <t xml:space="preserve">r </t>
    </r>
    <r>
      <rPr>
        <sz val="10"/>
        <rFont val="Cambria"/>
        <family val="1"/>
      </rPr>
      <t>=</t>
    </r>
    <phoneticPr fontId="3"/>
  </si>
  <si>
    <r>
      <rPr>
        <i/>
        <sz val="10"/>
        <rFont val="Cambria"/>
        <family val="1"/>
      </rPr>
      <t>T</t>
    </r>
    <r>
      <rPr>
        <vertAlign val="subscript"/>
        <sz val="10"/>
        <rFont val="Cambria"/>
        <family val="1"/>
      </rPr>
      <t>r</t>
    </r>
    <r>
      <rPr>
        <sz val="10"/>
        <rFont val="ＭＳ Ｐゴシック"/>
        <family val="3"/>
        <charset val="128"/>
      </rPr>
      <t>　平均値</t>
    </r>
    <r>
      <rPr>
        <vertAlign val="subscript"/>
        <sz val="10"/>
        <rFont val="ＭＳ Ｐゴシック"/>
        <family val="3"/>
        <charset val="128"/>
      </rPr>
      <t xml:space="preserve"> </t>
    </r>
    <r>
      <rPr>
        <sz val="10"/>
        <rFont val="ＭＳ Ｐゴシック"/>
        <family val="3"/>
        <charset val="128"/>
      </rPr>
      <t>=</t>
    </r>
    <rPh sb="3" eb="6">
      <t>ヘイキンチ</t>
    </rPh>
    <phoneticPr fontId="3"/>
  </si>
  <si>
    <r>
      <rPr>
        <i/>
        <sz val="10"/>
        <rFont val="Cambria"/>
        <family val="1"/>
      </rPr>
      <t>T</t>
    </r>
    <r>
      <rPr>
        <vertAlign val="subscript"/>
        <sz val="10"/>
        <rFont val="Cambria"/>
        <family val="1"/>
      </rPr>
      <t>c</t>
    </r>
    <r>
      <rPr>
        <vertAlign val="subscript"/>
        <sz val="10"/>
        <rFont val="ＭＳ Ｐ明朝"/>
        <family val="1"/>
        <charset val="128"/>
      </rPr>
      <t>　</t>
    </r>
    <r>
      <rPr>
        <sz val="10"/>
        <rFont val="ＭＳ Ｐゴシック"/>
        <family val="3"/>
        <charset val="128"/>
      </rPr>
      <t>最大値</t>
    </r>
    <r>
      <rPr>
        <vertAlign val="subscript"/>
        <sz val="10"/>
        <rFont val="Century"/>
        <family val="1"/>
      </rPr>
      <t xml:space="preserve"> </t>
    </r>
    <r>
      <rPr>
        <sz val="10"/>
        <rFont val="ＭＳ Ｐゴシック"/>
        <family val="3"/>
        <charset val="128"/>
      </rPr>
      <t xml:space="preserve"> =</t>
    </r>
    <rPh sb="3" eb="6">
      <t>サイダイチ</t>
    </rPh>
    <phoneticPr fontId="3"/>
  </si>
  <si>
    <r>
      <rPr>
        <i/>
        <sz val="10"/>
        <rFont val="Cambria"/>
        <family val="1"/>
      </rPr>
      <t>V</t>
    </r>
    <r>
      <rPr>
        <vertAlign val="subscript"/>
        <sz val="10"/>
        <rFont val="Cambria"/>
        <family val="1"/>
      </rPr>
      <t xml:space="preserve">c </t>
    </r>
    <r>
      <rPr>
        <sz val="10"/>
        <rFont val="ＭＳ Ｐゴシック"/>
        <family val="3"/>
        <charset val="128"/>
      </rPr>
      <t>：連続処理能力[ラック/h]</t>
    </r>
    <phoneticPr fontId="3"/>
  </si>
  <si>
    <r>
      <t>V</t>
    </r>
    <r>
      <rPr>
        <vertAlign val="subscript"/>
        <sz val="14"/>
        <rFont val="Cambria"/>
        <family val="1"/>
      </rPr>
      <t>c</t>
    </r>
    <r>
      <rPr>
        <sz val="10"/>
        <rFont val="Cambria"/>
        <family val="1"/>
      </rPr>
      <t xml:space="preserve"> = </t>
    </r>
    <phoneticPr fontId="3"/>
  </si>
  <si>
    <r>
      <rPr>
        <i/>
        <sz val="12"/>
        <rFont val="Cambria"/>
        <family val="1"/>
      </rPr>
      <t>P</t>
    </r>
    <r>
      <rPr>
        <vertAlign val="subscript"/>
        <sz val="12"/>
        <rFont val="Cambria"/>
        <family val="1"/>
      </rPr>
      <t>cG</t>
    </r>
    <r>
      <rPr>
        <vertAlign val="subscript"/>
        <sz val="10"/>
        <rFont val="Cambria"/>
        <family val="1"/>
      </rPr>
      <t xml:space="preserve"> </t>
    </r>
    <r>
      <rPr>
        <sz val="10"/>
        <rFont val="Cambria"/>
        <family val="1"/>
      </rPr>
      <t>=</t>
    </r>
    <phoneticPr fontId="3"/>
  </si>
  <si>
    <r>
      <rPr>
        <i/>
        <sz val="12"/>
        <rFont val="Cambria"/>
        <family val="1"/>
      </rPr>
      <t>P</t>
    </r>
    <r>
      <rPr>
        <vertAlign val="subscript"/>
        <sz val="12"/>
        <rFont val="Cambria"/>
        <family val="1"/>
      </rPr>
      <t>cE</t>
    </r>
    <r>
      <rPr>
        <vertAlign val="subscript"/>
        <sz val="10"/>
        <rFont val="Cambria"/>
        <family val="1"/>
      </rPr>
      <t xml:space="preserve"> </t>
    </r>
    <r>
      <rPr>
        <sz val="10"/>
        <rFont val="Cambria"/>
        <family val="1"/>
      </rPr>
      <t>=</t>
    </r>
    <phoneticPr fontId="3"/>
  </si>
  <si>
    <r>
      <rPr>
        <i/>
        <sz val="10"/>
        <rFont val="Cambria"/>
        <family val="1"/>
      </rPr>
      <t>P</t>
    </r>
    <r>
      <rPr>
        <vertAlign val="subscript"/>
        <sz val="10"/>
        <rFont val="Cambria"/>
        <family val="1"/>
      </rPr>
      <t>cG</t>
    </r>
    <r>
      <rPr>
        <sz val="10"/>
        <rFont val="Cambria"/>
        <family val="1"/>
      </rPr>
      <t xml:space="preserve"> :</t>
    </r>
    <r>
      <rPr>
        <sz val="10"/>
        <rFont val="ＭＳ Ｐゴシック"/>
        <family val="3"/>
        <charset val="128"/>
      </rPr>
      <t>ガス消費量[kWh/回]</t>
    </r>
    <phoneticPr fontId="3"/>
  </si>
  <si>
    <r>
      <rPr>
        <i/>
        <sz val="10"/>
        <rFont val="Cambria"/>
        <family val="1"/>
      </rPr>
      <t>P</t>
    </r>
    <r>
      <rPr>
        <vertAlign val="subscript"/>
        <sz val="10"/>
        <rFont val="Cambria"/>
        <family val="1"/>
      </rPr>
      <t>cE</t>
    </r>
    <r>
      <rPr>
        <sz val="10"/>
        <rFont val="Cambria"/>
        <family val="1"/>
      </rPr>
      <t xml:space="preserve"> :</t>
    </r>
    <r>
      <rPr>
        <sz val="10"/>
        <rFont val="ＭＳ Ｐゴシック"/>
        <family val="3"/>
        <charset val="128"/>
      </rPr>
      <t>消費電力量[kWh/回]</t>
    </r>
    <phoneticPr fontId="3"/>
  </si>
  <si>
    <r>
      <rPr>
        <i/>
        <sz val="10"/>
        <rFont val="Cambria"/>
        <family val="1"/>
      </rPr>
      <t>W</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立上り時給湯量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phoneticPr fontId="3"/>
  </si>
  <si>
    <r>
      <rPr>
        <i/>
        <sz val="10"/>
        <rFont val="Cambria"/>
        <family val="1"/>
      </rPr>
      <t>W</t>
    </r>
    <r>
      <rPr>
        <vertAlign val="subscript"/>
        <sz val="10"/>
        <rFont val="Cambria"/>
        <family val="1"/>
      </rPr>
      <t xml:space="preserve">r </t>
    </r>
    <r>
      <rPr>
        <sz val="10"/>
        <rFont val="ＭＳ Ｐゴシック"/>
        <family val="3"/>
        <charset val="128"/>
      </rPr>
      <t>：</t>
    </r>
    <r>
      <rPr>
        <sz val="10"/>
        <rFont val="Cambria"/>
        <family val="1"/>
      </rPr>
      <t xml:space="preserve"> </t>
    </r>
    <r>
      <rPr>
        <sz val="10"/>
        <rFont val="ＭＳ Ｐゴシック"/>
        <family val="3"/>
        <charset val="128"/>
      </rPr>
      <t>仕上げすすぎタンクの貯湯量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rPh sb="21" eb="22">
      <t>カイ</t>
    </rPh>
    <phoneticPr fontId="3"/>
  </si>
  <si>
    <r>
      <rPr>
        <i/>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水の比熱</t>
    </r>
    <r>
      <rPr>
        <sz val="10"/>
        <rFont val="Century"/>
        <family val="1"/>
      </rPr>
      <t xml:space="preserve"> 4.19</t>
    </r>
    <r>
      <rPr>
        <sz val="10"/>
        <rFont val="ＭＳ Ｐゴシック"/>
        <family val="3"/>
        <charset val="128"/>
      </rPr>
      <t>kJ/kg℃</t>
    </r>
    <phoneticPr fontId="3"/>
  </si>
  <si>
    <r>
      <rPr>
        <i/>
        <sz val="10"/>
        <rFont val="Cambria"/>
        <family val="1"/>
      </rPr>
      <t>Q</t>
    </r>
    <r>
      <rPr>
        <vertAlign val="subscript"/>
        <sz val="10"/>
        <rFont val="Cambria"/>
        <family val="1"/>
      </rPr>
      <t>sG</t>
    </r>
    <r>
      <rPr>
        <sz val="10"/>
        <rFont val="Cambria"/>
        <family val="1"/>
      </rPr>
      <t xml:space="preserve"> </t>
    </r>
    <r>
      <rPr>
        <sz val="10"/>
        <rFont val="ＭＳ Ｐゴシック"/>
        <family val="3"/>
        <charset val="128"/>
      </rPr>
      <t>： 立上り時ガス消費量[kWh/回]</t>
    </r>
    <rPh sb="12" eb="14">
      <t>ショウヒ</t>
    </rPh>
    <rPh sb="20" eb="21">
      <t>カイ</t>
    </rPh>
    <phoneticPr fontId="3"/>
  </si>
  <si>
    <r>
      <t>P</t>
    </r>
    <r>
      <rPr>
        <vertAlign val="subscript"/>
        <sz val="10"/>
        <rFont val="Cambria"/>
        <family val="1"/>
      </rPr>
      <t xml:space="preserve">sG </t>
    </r>
    <r>
      <rPr>
        <sz val="10"/>
        <rFont val="Cambria"/>
        <family val="1"/>
      </rPr>
      <t xml:space="preserve"> =</t>
    </r>
    <phoneticPr fontId="3"/>
  </si>
  <si>
    <r>
      <t>W</t>
    </r>
    <r>
      <rPr>
        <vertAlign val="subscript"/>
        <sz val="10"/>
        <rFont val="Cambria"/>
        <family val="1"/>
      </rPr>
      <t>s</t>
    </r>
    <r>
      <rPr>
        <sz val="10"/>
        <rFont val="Cambria"/>
        <family val="1"/>
      </rPr>
      <t xml:space="preserve"> = </t>
    </r>
    <phoneticPr fontId="3"/>
  </si>
  <si>
    <r>
      <t>W</t>
    </r>
    <r>
      <rPr>
        <vertAlign val="subscript"/>
        <sz val="10"/>
        <rFont val="Cambria"/>
        <family val="1"/>
      </rPr>
      <t>r</t>
    </r>
    <r>
      <rPr>
        <sz val="10"/>
        <rFont val="Cambria"/>
        <family val="1"/>
      </rPr>
      <t xml:space="preserve"> = </t>
    </r>
    <phoneticPr fontId="3"/>
  </si>
  <si>
    <r>
      <t>C</t>
    </r>
    <r>
      <rPr>
        <i/>
        <sz val="10"/>
        <rFont val="ＭＳ Ｐ明朝"/>
        <family val="1"/>
        <charset val="128"/>
      </rPr>
      <t>　</t>
    </r>
    <r>
      <rPr>
        <sz val="10"/>
        <rFont val="Cambria"/>
        <family val="1"/>
      </rPr>
      <t xml:space="preserve">= </t>
    </r>
    <phoneticPr fontId="3"/>
  </si>
  <si>
    <r>
      <t>Q</t>
    </r>
    <r>
      <rPr>
        <vertAlign val="subscript"/>
        <sz val="10"/>
        <rFont val="Cambria"/>
        <family val="1"/>
      </rPr>
      <t xml:space="preserve">sG </t>
    </r>
    <r>
      <rPr>
        <vertAlign val="subscript"/>
        <sz val="10"/>
        <rFont val="ＭＳ Ｐゴシック"/>
        <family val="3"/>
        <charset val="128"/>
      </rPr>
      <t>　</t>
    </r>
    <r>
      <rPr>
        <sz val="10"/>
        <rFont val="Cambria"/>
        <family val="1"/>
      </rPr>
      <t>=</t>
    </r>
    <r>
      <rPr>
        <sz val="10"/>
        <rFont val="ＭＳ Ｐゴシック"/>
        <family val="3"/>
        <charset val="128"/>
      </rPr>
      <t>　</t>
    </r>
    <phoneticPr fontId="3"/>
  </si>
  <si>
    <r>
      <rPr>
        <i/>
        <sz val="14"/>
        <rFont val="Cambria"/>
        <family val="1"/>
      </rPr>
      <t>Q</t>
    </r>
    <r>
      <rPr>
        <vertAlign val="subscript"/>
        <sz val="14"/>
        <rFont val="Cambria"/>
        <family val="1"/>
      </rPr>
      <t>sG</t>
    </r>
    <r>
      <rPr>
        <vertAlign val="subscript"/>
        <sz val="14"/>
        <rFont val="ＭＳ Ｐ明朝"/>
        <family val="1"/>
        <charset val="128"/>
      </rPr>
      <t>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t>
    </r>
    <rPh sb="4" eb="7">
      <t>ヘイキンチ</t>
    </rPh>
    <phoneticPr fontId="3"/>
  </si>
  <si>
    <r>
      <rPr>
        <i/>
        <sz val="10"/>
        <rFont val="Cambria"/>
        <family val="1"/>
      </rPr>
      <t>W</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立上り時給湯量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phoneticPr fontId="3"/>
  </si>
  <si>
    <r>
      <rPr>
        <i/>
        <sz val="10"/>
        <rFont val="Cambria"/>
        <family val="1"/>
      </rPr>
      <t>W</t>
    </r>
    <r>
      <rPr>
        <vertAlign val="subscript"/>
        <sz val="10"/>
        <rFont val="Cambria"/>
        <family val="1"/>
      </rPr>
      <t xml:space="preserve">r </t>
    </r>
    <r>
      <rPr>
        <sz val="10"/>
        <rFont val="ＭＳ Ｐゴシック"/>
        <family val="3"/>
        <charset val="128"/>
      </rPr>
      <t>： 仕上げすすぎタンクの貯湯量</t>
    </r>
    <r>
      <rPr>
        <sz val="10"/>
        <rFont val="Century"/>
        <family val="1"/>
      </rPr>
      <t>[</t>
    </r>
    <r>
      <rPr>
        <sz val="10"/>
        <rFont val="ＭＳ Ｐゴシック"/>
        <family val="3"/>
        <charset val="128"/>
      </rPr>
      <t>ℓ</t>
    </r>
    <r>
      <rPr>
        <sz val="10"/>
        <rFont val="Century"/>
        <family val="1"/>
      </rPr>
      <t>/</t>
    </r>
    <r>
      <rPr>
        <sz val="10"/>
        <rFont val="ＭＳ Ｐゴシック"/>
        <family val="3"/>
        <charset val="128"/>
      </rPr>
      <t>回</t>
    </r>
    <r>
      <rPr>
        <sz val="10"/>
        <rFont val="Century"/>
        <family val="1"/>
      </rPr>
      <t>]</t>
    </r>
    <rPh sb="21" eb="22">
      <t>カイ</t>
    </rPh>
    <phoneticPr fontId="3"/>
  </si>
  <si>
    <r>
      <rPr>
        <i/>
        <sz val="10"/>
        <rFont val="Cambria"/>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t>
    </r>
    <r>
      <rPr>
        <sz val="10"/>
        <rFont val="Century"/>
        <family val="1"/>
      </rPr>
      <t xml:space="preserve"> 4.19</t>
    </r>
    <r>
      <rPr>
        <sz val="10"/>
        <rFont val="ＭＳ Ｐゴシック"/>
        <family val="3"/>
        <charset val="128"/>
      </rPr>
      <t>kJ/kg℃</t>
    </r>
    <phoneticPr fontId="3"/>
  </si>
  <si>
    <r>
      <t>P</t>
    </r>
    <r>
      <rPr>
        <vertAlign val="subscript"/>
        <sz val="10"/>
        <rFont val="Cambria"/>
        <family val="1"/>
      </rPr>
      <t xml:space="preserve">sE </t>
    </r>
    <r>
      <rPr>
        <sz val="10"/>
        <rFont val="Cambria"/>
        <family val="1"/>
      </rPr>
      <t xml:space="preserve"> =</t>
    </r>
    <phoneticPr fontId="3"/>
  </si>
  <si>
    <r>
      <t>Q</t>
    </r>
    <r>
      <rPr>
        <vertAlign val="subscript"/>
        <sz val="10"/>
        <rFont val="Cambria"/>
        <family val="1"/>
      </rPr>
      <t xml:space="preserve">sE </t>
    </r>
    <r>
      <rPr>
        <vertAlign val="subscript"/>
        <sz val="10"/>
        <rFont val="ＭＳ Ｐゴシック"/>
        <family val="3"/>
        <charset val="128"/>
      </rPr>
      <t>　</t>
    </r>
    <r>
      <rPr>
        <sz val="10"/>
        <rFont val="Cambria"/>
        <family val="1"/>
      </rPr>
      <t>=</t>
    </r>
    <r>
      <rPr>
        <sz val="10"/>
        <rFont val="ＭＳ Ｐゴシック"/>
        <family val="3"/>
        <charset val="128"/>
      </rPr>
      <t>　</t>
    </r>
    <phoneticPr fontId="3"/>
  </si>
  <si>
    <r>
      <rPr>
        <i/>
        <sz val="14"/>
        <rFont val="Cambria"/>
        <family val="1"/>
      </rPr>
      <t>Q</t>
    </r>
    <r>
      <rPr>
        <vertAlign val="subscript"/>
        <sz val="14"/>
        <rFont val="Cambria"/>
        <family val="1"/>
      </rPr>
      <t>sE</t>
    </r>
    <r>
      <rPr>
        <vertAlign val="subscript"/>
        <sz val="14"/>
        <rFont val="ＭＳ Ｐ明朝"/>
        <family val="1"/>
        <charset val="128"/>
      </rPr>
      <t>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t>
    </r>
    <rPh sb="4" eb="7">
      <t>ヘイキンチ</t>
    </rPh>
    <phoneticPr fontId="3"/>
  </si>
  <si>
    <r>
      <rPr>
        <i/>
        <sz val="10"/>
        <rFont val="Cambria"/>
        <family val="1"/>
      </rPr>
      <t>P</t>
    </r>
    <r>
      <rPr>
        <vertAlign val="subscript"/>
        <sz val="10"/>
        <rFont val="Cambria"/>
        <family val="1"/>
      </rPr>
      <t xml:space="preserve">srG </t>
    </r>
    <r>
      <rPr>
        <sz val="10"/>
        <rFont val="ＭＳ Ｐゴシック"/>
        <family val="3"/>
        <charset val="128"/>
      </rPr>
      <t>：</t>
    </r>
    <r>
      <rPr>
        <sz val="10"/>
        <rFont val="Cambria"/>
        <family val="1"/>
      </rPr>
      <t xml:space="preserve"> </t>
    </r>
    <r>
      <rPr>
        <sz val="10"/>
        <rFont val="ＭＳ Ｐゴシック"/>
        <family val="3"/>
        <charset val="128"/>
      </rPr>
      <t>ガス消費量[kWh/回]</t>
    </r>
    <rPh sb="9" eb="12">
      <t>ショウヒリョウ</t>
    </rPh>
    <phoneticPr fontId="3"/>
  </si>
  <si>
    <r>
      <rPr>
        <i/>
        <sz val="10"/>
        <rFont val="Cambria"/>
        <family val="1"/>
      </rPr>
      <t>W</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立上り時給湯量[ℓ/回]　</t>
    </r>
    <rPh sb="15" eb="16">
      <t>カイ</t>
    </rPh>
    <phoneticPr fontId="3"/>
  </si>
  <si>
    <r>
      <rPr>
        <i/>
        <sz val="10"/>
        <rFont val="Cambria"/>
        <family val="1"/>
      </rPr>
      <t>Q</t>
    </r>
    <r>
      <rPr>
        <vertAlign val="subscript"/>
        <sz val="10"/>
        <rFont val="Cambria"/>
        <family val="1"/>
      </rPr>
      <t xml:space="preserve">srG </t>
    </r>
    <r>
      <rPr>
        <sz val="10"/>
        <rFont val="Cambria"/>
        <family val="1"/>
      </rPr>
      <t xml:space="preserve">: </t>
    </r>
    <r>
      <rPr>
        <sz val="10"/>
        <rFont val="ＭＳ Ｐゴシック"/>
        <family val="3"/>
        <charset val="128"/>
      </rPr>
      <t>洗浄水入替え時ガス消費量[kWh/回]</t>
    </r>
    <rPh sb="9" eb="10">
      <t>スイ</t>
    </rPh>
    <rPh sb="16" eb="19">
      <t>ショウヒリョウ</t>
    </rPh>
    <rPh sb="24" eb="25">
      <t>カイ</t>
    </rPh>
    <phoneticPr fontId="3"/>
  </si>
  <si>
    <r>
      <t xml:space="preserve">C </t>
    </r>
    <r>
      <rPr>
        <sz val="10"/>
        <rFont val="Cambria"/>
        <family val="1"/>
      </rPr>
      <t xml:space="preserve">= </t>
    </r>
    <phoneticPr fontId="3"/>
  </si>
  <si>
    <r>
      <rPr>
        <i/>
        <sz val="10"/>
        <rFont val="Cambria"/>
        <family val="1"/>
      </rPr>
      <t>W</t>
    </r>
    <r>
      <rPr>
        <vertAlign val="subscript"/>
        <sz val="10"/>
        <rFont val="Cambria"/>
        <family val="1"/>
      </rPr>
      <t xml:space="preserve">r </t>
    </r>
    <r>
      <rPr>
        <sz val="10"/>
        <rFont val="ＭＳ Ｐゴシック"/>
        <family val="3"/>
        <charset val="128"/>
      </rPr>
      <t>：</t>
    </r>
    <r>
      <rPr>
        <sz val="10"/>
        <rFont val="Cambria"/>
        <family val="1"/>
      </rPr>
      <t xml:space="preserve"> </t>
    </r>
    <r>
      <rPr>
        <sz val="10"/>
        <rFont val="ＭＳ Ｐゴシック"/>
        <family val="3"/>
        <charset val="128"/>
      </rPr>
      <t>仕上げすすぎタンクの貯湯量[ℓ/回]</t>
    </r>
    <phoneticPr fontId="3"/>
  </si>
  <si>
    <r>
      <rPr>
        <i/>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水の比熱　4.19kJ/kg℃</t>
    </r>
    <phoneticPr fontId="3"/>
  </si>
  <si>
    <r>
      <t>Q</t>
    </r>
    <r>
      <rPr>
        <vertAlign val="subscript"/>
        <sz val="10"/>
        <rFont val="Cambria"/>
        <family val="1"/>
      </rPr>
      <t xml:space="preserve">srG </t>
    </r>
    <r>
      <rPr>
        <sz val="10"/>
        <rFont val="Cambria"/>
        <family val="1"/>
      </rPr>
      <t>=</t>
    </r>
    <phoneticPr fontId="3"/>
  </si>
  <si>
    <r>
      <rPr>
        <i/>
        <sz val="14"/>
        <rFont val="Cambria"/>
        <family val="1"/>
      </rPr>
      <t>Q</t>
    </r>
    <r>
      <rPr>
        <vertAlign val="subscript"/>
        <sz val="14"/>
        <rFont val="Cambria"/>
        <family val="1"/>
      </rPr>
      <t>srG</t>
    </r>
    <r>
      <rPr>
        <vertAlign val="subscript"/>
        <sz val="14"/>
        <rFont val="ＭＳ Ｐ明朝"/>
        <family val="1"/>
        <charset val="128"/>
      </rPr>
      <t>　</t>
    </r>
    <r>
      <rPr>
        <sz val="10"/>
        <rFont val="ＭＳ Ｐゴシック"/>
        <family val="3"/>
        <charset val="128"/>
      </rPr>
      <t>平均値 =</t>
    </r>
    <rPh sb="5" eb="8">
      <t>ヘイキンチ</t>
    </rPh>
    <phoneticPr fontId="3"/>
  </si>
  <si>
    <r>
      <rPr>
        <i/>
        <sz val="10"/>
        <rFont val="Cambria"/>
        <family val="1"/>
      </rPr>
      <t>W</t>
    </r>
    <r>
      <rPr>
        <vertAlign val="subscript"/>
        <sz val="10"/>
        <rFont val="Cambria"/>
        <family val="1"/>
      </rPr>
      <t xml:space="preserve">s </t>
    </r>
    <r>
      <rPr>
        <sz val="10"/>
        <rFont val="ＭＳ Ｐゴシック"/>
        <family val="3"/>
        <charset val="128"/>
      </rPr>
      <t>： 立上り時給湯量[ℓ/回]　</t>
    </r>
    <rPh sb="15" eb="16">
      <t>カイ</t>
    </rPh>
    <phoneticPr fontId="3"/>
  </si>
  <si>
    <r>
      <rPr>
        <i/>
        <sz val="10"/>
        <rFont val="Cambria"/>
        <family val="1"/>
      </rPr>
      <t>W</t>
    </r>
    <r>
      <rPr>
        <vertAlign val="subscript"/>
        <sz val="10"/>
        <rFont val="Cambria"/>
        <family val="1"/>
      </rPr>
      <t xml:space="preserve">r </t>
    </r>
    <r>
      <rPr>
        <sz val="10"/>
        <rFont val="ＭＳ Ｐゴシック"/>
        <family val="3"/>
        <charset val="128"/>
      </rPr>
      <t>： 仕上げすすぎタンクの貯湯量[ℓ/回]</t>
    </r>
    <phoneticPr fontId="3"/>
  </si>
  <si>
    <r>
      <rPr>
        <i/>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水の比熱　4.19kJ/kg℃</t>
    </r>
    <phoneticPr fontId="3"/>
  </si>
  <si>
    <r>
      <t>P</t>
    </r>
    <r>
      <rPr>
        <vertAlign val="subscript"/>
        <sz val="10"/>
        <rFont val="Cambria"/>
        <family val="1"/>
      </rPr>
      <t>srE</t>
    </r>
    <r>
      <rPr>
        <sz val="10"/>
        <rFont val="Cambria"/>
        <family val="1"/>
      </rPr>
      <t xml:space="preserve"> =</t>
    </r>
    <phoneticPr fontId="3"/>
  </si>
  <si>
    <r>
      <t>θ</t>
    </r>
    <r>
      <rPr>
        <vertAlign val="subscript"/>
        <sz val="10"/>
        <rFont val="Cambria"/>
        <family val="1"/>
      </rPr>
      <t>s</t>
    </r>
    <r>
      <rPr>
        <sz val="10"/>
        <rFont val="Cambria"/>
        <family val="1"/>
      </rPr>
      <t xml:space="preserve"> =</t>
    </r>
    <phoneticPr fontId="3"/>
  </si>
  <si>
    <r>
      <t>Q</t>
    </r>
    <r>
      <rPr>
        <vertAlign val="subscript"/>
        <sz val="10"/>
        <rFont val="Cambria"/>
        <family val="1"/>
      </rPr>
      <t xml:space="preserve">srE </t>
    </r>
    <r>
      <rPr>
        <sz val="10"/>
        <rFont val="Cambria"/>
        <family val="1"/>
      </rPr>
      <t>=</t>
    </r>
    <phoneticPr fontId="3"/>
  </si>
  <si>
    <r>
      <rPr>
        <i/>
        <sz val="14"/>
        <rFont val="Cambria"/>
        <family val="1"/>
      </rPr>
      <t>Q</t>
    </r>
    <r>
      <rPr>
        <vertAlign val="subscript"/>
        <sz val="14"/>
        <rFont val="Cambria"/>
        <family val="1"/>
      </rPr>
      <t>srE</t>
    </r>
    <r>
      <rPr>
        <vertAlign val="subscript"/>
        <sz val="14"/>
        <rFont val="ＭＳ Ｐ明朝"/>
        <family val="1"/>
        <charset val="128"/>
      </rPr>
      <t>　</t>
    </r>
    <r>
      <rPr>
        <sz val="10"/>
        <rFont val="ＭＳ Ｐゴシック"/>
        <family val="3"/>
        <charset val="128"/>
      </rPr>
      <t>平均値 =</t>
    </r>
    <rPh sb="5" eb="8">
      <t>ヘイキンチ</t>
    </rPh>
    <phoneticPr fontId="3"/>
  </si>
  <si>
    <r>
      <rPr>
        <i/>
        <sz val="10"/>
        <rFont val="Cambria"/>
        <family val="1"/>
      </rPr>
      <t>P</t>
    </r>
    <r>
      <rPr>
        <vertAlign val="subscript"/>
        <sz val="10"/>
        <rFont val="Cambria"/>
        <family val="1"/>
      </rPr>
      <t>cG</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ガス消費量</t>
    </r>
    <r>
      <rPr>
        <sz val="10"/>
        <rFont val="Century"/>
        <family val="1"/>
      </rPr>
      <t xml:space="preserve"> [</t>
    </r>
    <r>
      <rPr>
        <sz val="10"/>
        <rFont val="ＭＳ Ｐゴシック"/>
        <family val="3"/>
        <charset val="128"/>
      </rPr>
      <t>kWh/回]</t>
    </r>
    <rPh sb="8" eb="11">
      <t>ショウヒリョウ</t>
    </rPh>
    <rPh sb="10" eb="11">
      <t>リョウ</t>
    </rPh>
    <rPh sb="11" eb="12">
      <t>デンリョウ</t>
    </rPh>
    <phoneticPr fontId="3"/>
  </si>
  <si>
    <r>
      <rPr>
        <i/>
        <sz val="10"/>
        <rFont val="Cambria"/>
        <family val="1"/>
      </rPr>
      <t>T</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処理に要した時間 [s/回]</t>
    </r>
    <rPh sb="5" eb="7">
      <t>ショリ</t>
    </rPh>
    <rPh sb="8" eb="9">
      <t>ヨウ</t>
    </rPh>
    <rPh sb="11" eb="13">
      <t>ジカン</t>
    </rPh>
    <phoneticPr fontId="3"/>
  </si>
  <si>
    <r>
      <rPr>
        <i/>
        <sz val="10"/>
        <rFont val="Cambria"/>
        <family val="1"/>
      </rPr>
      <t>W</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処理時給湯量 [ℓ</t>
    </r>
    <r>
      <rPr>
        <sz val="10"/>
        <rFont val="Century"/>
        <family val="1"/>
      </rPr>
      <t>/</t>
    </r>
    <r>
      <rPr>
        <sz val="10"/>
        <rFont val="ＭＳ Ｐゴシック"/>
        <family val="3"/>
        <charset val="128"/>
      </rPr>
      <t>ﾗｯｸ</t>
    </r>
    <r>
      <rPr>
        <sz val="10"/>
        <rFont val="Century"/>
        <family val="1"/>
      </rPr>
      <t>]</t>
    </r>
    <rPh sb="11" eb="12">
      <t>ユリョウ</t>
    </rPh>
    <phoneticPr fontId="3"/>
  </si>
  <si>
    <r>
      <rPr>
        <i/>
        <sz val="10"/>
        <rFont val="Cambria"/>
        <family val="1"/>
      </rPr>
      <t>V</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連続処理能力</t>
    </r>
    <r>
      <rPr>
        <sz val="10"/>
        <rFont val="Century"/>
        <family val="1"/>
      </rPr>
      <t xml:space="preserve"> [</t>
    </r>
    <r>
      <rPr>
        <sz val="10"/>
        <rFont val="ＭＳ Ｐゴシック"/>
        <family val="3"/>
        <charset val="128"/>
      </rPr>
      <t>ﾗｯｸ</t>
    </r>
    <r>
      <rPr>
        <sz val="10"/>
        <rFont val="Century"/>
        <family val="1"/>
      </rPr>
      <t>/h]</t>
    </r>
    <rPh sb="5" eb="7">
      <t>レンゾク</t>
    </rPh>
    <rPh sb="7" eb="9">
      <t>ショリ</t>
    </rPh>
    <rPh sb="9" eb="11">
      <t>ノウリョク</t>
    </rPh>
    <phoneticPr fontId="3"/>
  </si>
  <si>
    <r>
      <rPr>
        <i/>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水の比熱</t>
    </r>
    <r>
      <rPr>
        <sz val="10"/>
        <rFont val="Century"/>
        <family val="1"/>
      </rPr>
      <t xml:space="preserve">   4.19</t>
    </r>
    <r>
      <rPr>
        <sz val="10"/>
        <rFont val="ＭＳ Ｐゴシック"/>
        <family val="3"/>
        <charset val="128"/>
      </rPr>
      <t>kJ/kg℃</t>
    </r>
    <rPh sb="4" eb="5">
      <t>ミズ</t>
    </rPh>
    <rPh sb="6" eb="8">
      <t>ヒネツ</t>
    </rPh>
    <phoneticPr fontId="3"/>
  </si>
  <si>
    <r>
      <rPr>
        <i/>
        <sz val="10"/>
        <rFont val="Cambria"/>
        <family val="1"/>
      </rPr>
      <t>Q</t>
    </r>
    <r>
      <rPr>
        <vertAlign val="subscript"/>
        <sz val="10"/>
        <rFont val="Cambria"/>
        <family val="1"/>
      </rPr>
      <t>cG</t>
    </r>
    <r>
      <rPr>
        <sz val="10"/>
        <rFont val="Cambria"/>
        <family val="1"/>
      </rPr>
      <t xml:space="preserve"> : </t>
    </r>
    <r>
      <rPr>
        <sz val="10"/>
        <rFont val="ＭＳ Ｐゴシック"/>
        <family val="3"/>
        <charset val="128"/>
      </rPr>
      <t>処理時ガス消費量[kWh/h]</t>
    </r>
    <rPh sb="6" eb="8">
      <t>ショリ</t>
    </rPh>
    <rPh sb="8" eb="9">
      <t>ジ</t>
    </rPh>
    <rPh sb="11" eb="13">
      <t>ショウヒ</t>
    </rPh>
    <rPh sb="13" eb="14">
      <t>リョウ</t>
    </rPh>
    <phoneticPr fontId="3"/>
  </si>
  <si>
    <r>
      <t>P</t>
    </r>
    <r>
      <rPr>
        <vertAlign val="subscript"/>
        <sz val="10"/>
        <rFont val="Cambria"/>
        <family val="1"/>
      </rPr>
      <t>cG</t>
    </r>
    <r>
      <rPr>
        <i/>
        <vertAlign val="subscript"/>
        <sz val="10"/>
        <rFont val="Cambria"/>
        <family val="1"/>
      </rPr>
      <t xml:space="preserve">  </t>
    </r>
    <r>
      <rPr>
        <sz val="10"/>
        <rFont val="Cambria"/>
        <family val="1"/>
      </rPr>
      <t xml:space="preserve">= </t>
    </r>
    <phoneticPr fontId="3"/>
  </si>
  <si>
    <r>
      <t>T</t>
    </r>
    <r>
      <rPr>
        <vertAlign val="subscript"/>
        <sz val="10"/>
        <rFont val="Cambria"/>
        <family val="1"/>
      </rPr>
      <t>c</t>
    </r>
    <r>
      <rPr>
        <sz val="10"/>
        <rFont val="Cambria"/>
        <family val="1"/>
      </rPr>
      <t xml:space="preserve"> = </t>
    </r>
    <phoneticPr fontId="3"/>
  </si>
  <si>
    <r>
      <t>W</t>
    </r>
    <r>
      <rPr>
        <vertAlign val="subscript"/>
        <sz val="10"/>
        <rFont val="Cambria"/>
        <family val="1"/>
      </rPr>
      <t>c</t>
    </r>
    <r>
      <rPr>
        <sz val="10"/>
        <rFont val="Cambria"/>
        <family val="1"/>
      </rPr>
      <t xml:space="preserve"> = </t>
    </r>
    <phoneticPr fontId="3"/>
  </si>
  <si>
    <r>
      <t>V</t>
    </r>
    <r>
      <rPr>
        <vertAlign val="subscript"/>
        <sz val="10"/>
        <rFont val="Cambria"/>
        <family val="1"/>
      </rPr>
      <t xml:space="preserve">c </t>
    </r>
    <r>
      <rPr>
        <sz val="10"/>
        <rFont val="Cambria"/>
        <family val="1"/>
      </rPr>
      <t xml:space="preserve"> = </t>
    </r>
    <phoneticPr fontId="3"/>
  </si>
  <si>
    <r>
      <t>C</t>
    </r>
    <r>
      <rPr>
        <sz val="10"/>
        <rFont val="Cambria"/>
        <family val="1"/>
      </rPr>
      <t xml:space="preserve"> = </t>
    </r>
    <phoneticPr fontId="3"/>
  </si>
  <si>
    <r>
      <rPr>
        <i/>
        <sz val="14"/>
        <rFont val="Cambria"/>
        <family val="1"/>
      </rPr>
      <t>Q</t>
    </r>
    <r>
      <rPr>
        <vertAlign val="subscript"/>
        <sz val="14"/>
        <rFont val="Cambria"/>
        <family val="1"/>
      </rPr>
      <t xml:space="preserve">cG </t>
    </r>
    <r>
      <rPr>
        <sz val="10"/>
        <rFont val="Cambria"/>
        <family val="1"/>
      </rPr>
      <t>=</t>
    </r>
    <phoneticPr fontId="3"/>
  </si>
  <si>
    <r>
      <rPr>
        <i/>
        <sz val="10"/>
        <rFont val="Cambria"/>
        <family val="1"/>
      </rPr>
      <t>T</t>
    </r>
    <r>
      <rPr>
        <vertAlign val="subscript"/>
        <sz val="10"/>
        <rFont val="Cambria"/>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処理に要した時間 [s/回]</t>
    </r>
    <rPh sb="5" eb="7">
      <t>ショリ</t>
    </rPh>
    <rPh sb="8" eb="9">
      <t>ヨウ</t>
    </rPh>
    <rPh sb="11" eb="13">
      <t>ジカン</t>
    </rPh>
    <phoneticPr fontId="3"/>
  </si>
  <si>
    <r>
      <rPr>
        <i/>
        <sz val="10"/>
        <rFont val="Cambria"/>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t>
    </r>
    <r>
      <rPr>
        <sz val="10"/>
        <rFont val="Century"/>
        <family val="1"/>
      </rPr>
      <t xml:space="preserve">   4.19</t>
    </r>
    <r>
      <rPr>
        <sz val="10"/>
        <rFont val="ＭＳ Ｐゴシック"/>
        <family val="3"/>
        <charset val="128"/>
      </rPr>
      <t>kJ/kg℃</t>
    </r>
    <rPh sb="4" eb="5">
      <t>ミズ</t>
    </rPh>
    <rPh sb="6" eb="8">
      <t>ヒネツ</t>
    </rPh>
    <phoneticPr fontId="3"/>
  </si>
  <si>
    <r>
      <t>P</t>
    </r>
    <r>
      <rPr>
        <vertAlign val="subscript"/>
        <sz val="10"/>
        <rFont val="Cambria"/>
        <family val="1"/>
      </rPr>
      <t>cE</t>
    </r>
    <r>
      <rPr>
        <i/>
        <vertAlign val="subscript"/>
        <sz val="10"/>
        <rFont val="Cambria"/>
        <family val="1"/>
      </rPr>
      <t xml:space="preserve">  </t>
    </r>
    <r>
      <rPr>
        <sz val="10"/>
        <rFont val="Cambria"/>
        <family val="1"/>
      </rPr>
      <t xml:space="preserve">= </t>
    </r>
    <phoneticPr fontId="3"/>
  </si>
  <si>
    <r>
      <t>Q</t>
    </r>
    <r>
      <rPr>
        <vertAlign val="subscript"/>
        <sz val="14"/>
        <rFont val="Cambria"/>
        <family val="1"/>
      </rPr>
      <t xml:space="preserve">cE </t>
    </r>
    <r>
      <rPr>
        <sz val="10"/>
        <rFont val="Cambria"/>
        <family val="1"/>
      </rPr>
      <t>=</t>
    </r>
    <phoneticPr fontId="3"/>
  </si>
  <si>
    <r>
      <rPr>
        <i/>
        <sz val="10"/>
        <rFont val="Cambria"/>
        <family val="1"/>
      </rPr>
      <t>T</t>
    </r>
    <r>
      <rPr>
        <vertAlign val="subscript"/>
        <sz val="10"/>
        <rFont val="Cambria"/>
        <family val="1"/>
      </rPr>
      <t xml:space="preserve">iE </t>
    </r>
    <r>
      <rPr>
        <sz val="10"/>
        <rFont val="ＭＳ Ｐゴシック"/>
        <family val="3"/>
        <charset val="128"/>
      </rPr>
      <t>：</t>
    </r>
    <r>
      <rPr>
        <sz val="10"/>
        <rFont val="Cambria"/>
        <family val="1"/>
      </rPr>
      <t xml:space="preserve"> </t>
    </r>
    <r>
      <rPr>
        <sz val="10"/>
        <rFont val="ＭＳ Ｐゴシック"/>
        <family val="3"/>
        <charset val="128"/>
      </rPr>
      <t>待機時の消費電力量の測定時間</t>
    </r>
    <r>
      <rPr>
        <sz val="10"/>
        <rFont val="Century"/>
        <family val="1"/>
      </rPr>
      <t xml:space="preserve"> [</t>
    </r>
    <r>
      <rPr>
        <sz val="10"/>
        <rFont val="ＭＳ Ｐゴシック"/>
        <family val="3"/>
        <charset val="128"/>
      </rPr>
      <t>min]</t>
    </r>
    <rPh sb="6" eb="8">
      <t>タイキ</t>
    </rPh>
    <rPh sb="8" eb="9">
      <t>ジ</t>
    </rPh>
    <rPh sb="10" eb="12">
      <t>ショウヒ</t>
    </rPh>
    <rPh sb="12" eb="14">
      <t>デンリョク</t>
    </rPh>
    <rPh sb="14" eb="15">
      <t>リョウ</t>
    </rPh>
    <rPh sb="16" eb="18">
      <t>ソクテイ</t>
    </rPh>
    <rPh sb="18" eb="20">
      <t>ジカン</t>
    </rPh>
    <phoneticPr fontId="3"/>
  </si>
  <si>
    <r>
      <t>P</t>
    </r>
    <r>
      <rPr>
        <vertAlign val="subscript"/>
        <sz val="10"/>
        <rFont val="Cambria"/>
        <family val="1"/>
      </rPr>
      <t>iE</t>
    </r>
    <r>
      <rPr>
        <i/>
        <sz val="10"/>
        <rFont val="Cambria"/>
        <family val="1"/>
      </rPr>
      <t xml:space="preserve"> </t>
    </r>
    <r>
      <rPr>
        <sz val="10"/>
        <rFont val="Cambria"/>
        <family val="1"/>
      </rPr>
      <t xml:space="preserve">= </t>
    </r>
    <phoneticPr fontId="3"/>
  </si>
  <si>
    <r>
      <t>T</t>
    </r>
    <r>
      <rPr>
        <vertAlign val="subscript"/>
        <sz val="10"/>
        <rFont val="Cambria"/>
        <family val="1"/>
      </rPr>
      <t xml:space="preserve">iE </t>
    </r>
    <r>
      <rPr>
        <sz val="10"/>
        <rFont val="Cambria"/>
        <family val="1"/>
      </rPr>
      <t xml:space="preserve"> =</t>
    </r>
    <phoneticPr fontId="3"/>
  </si>
  <si>
    <r>
      <t>Q</t>
    </r>
    <r>
      <rPr>
        <vertAlign val="subscript"/>
        <sz val="10"/>
        <rFont val="Cambria"/>
        <family val="1"/>
      </rPr>
      <t xml:space="preserve">iE </t>
    </r>
    <r>
      <rPr>
        <sz val="10"/>
        <rFont val="Cambria"/>
        <family val="1"/>
      </rPr>
      <t>=</t>
    </r>
    <phoneticPr fontId="3"/>
  </si>
  <si>
    <r>
      <rPr>
        <i/>
        <sz val="14"/>
        <rFont val="Cambria"/>
        <family val="1"/>
      </rPr>
      <t>Q</t>
    </r>
    <r>
      <rPr>
        <vertAlign val="subscript"/>
        <sz val="14"/>
        <rFont val="Cambria"/>
        <family val="1"/>
      </rPr>
      <t>iE</t>
    </r>
    <r>
      <rPr>
        <vertAlign val="subscript"/>
        <sz val="10"/>
        <rFont val="Cambria"/>
        <family val="1"/>
      </rPr>
      <t xml:space="preserve"> </t>
    </r>
    <r>
      <rPr>
        <vertAlign val="subscript"/>
        <sz val="10"/>
        <rFont val="ＭＳ Ｐゴシック"/>
        <family val="3"/>
        <charset val="128"/>
      </rPr>
      <t>　</t>
    </r>
    <r>
      <rPr>
        <sz val="10"/>
        <rFont val="ＭＳ Ｐゴシック"/>
        <family val="3"/>
        <charset val="128"/>
      </rPr>
      <t>平均値 =</t>
    </r>
    <rPh sb="5" eb="8">
      <t>ヘイキンチ</t>
    </rPh>
    <phoneticPr fontId="3"/>
  </si>
  <si>
    <r>
      <rPr>
        <i/>
        <sz val="10"/>
        <rFont val="Cambria"/>
        <family val="1"/>
      </rPr>
      <t>Q</t>
    </r>
    <r>
      <rPr>
        <vertAlign val="subscript"/>
        <sz val="10"/>
        <rFont val="Cambria"/>
        <family val="1"/>
      </rPr>
      <t xml:space="preserve">sG </t>
    </r>
    <r>
      <rPr>
        <sz val="10"/>
        <rFont val="ＭＳ Ｐゴシック"/>
        <family val="3"/>
        <charset val="128"/>
      </rPr>
      <t>：</t>
    </r>
    <r>
      <rPr>
        <sz val="10"/>
        <rFont val="Cambria"/>
        <family val="1"/>
      </rPr>
      <t xml:space="preserve"> </t>
    </r>
    <r>
      <rPr>
        <sz val="10"/>
        <rFont val="ＭＳ Ｐゴシック"/>
        <family val="3"/>
        <charset val="128"/>
      </rPr>
      <t>立上り時ガス消費量[kWh/回]</t>
    </r>
    <rPh sb="12" eb="15">
      <t>ショウヒリョウ</t>
    </rPh>
    <rPh sb="20" eb="21">
      <t>カイ</t>
    </rPh>
    <phoneticPr fontId="3"/>
  </si>
  <si>
    <r>
      <rPr>
        <i/>
        <sz val="10"/>
        <rFont val="Cambria"/>
        <family val="1"/>
      </rPr>
      <t>Q</t>
    </r>
    <r>
      <rPr>
        <vertAlign val="subscript"/>
        <sz val="10"/>
        <rFont val="Cambria"/>
        <family val="1"/>
      </rPr>
      <t xml:space="preserve">srG </t>
    </r>
    <r>
      <rPr>
        <sz val="10"/>
        <rFont val="ＭＳ Ｐゴシック"/>
        <family val="3"/>
        <charset val="128"/>
      </rPr>
      <t>：</t>
    </r>
    <r>
      <rPr>
        <sz val="10"/>
        <rFont val="Cambria"/>
        <family val="1"/>
      </rPr>
      <t xml:space="preserve"> </t>
    </r>
    <r>
      <rPr>
        <sz val="10"/>
        <rFont val="ＭＳ Ｐゴシック"/>
        <family val="3"/>
        <charset val="128"/>
      </rPr>
      <t>洗浄水入替え時ガス消費量：[kWh/回]</t>
    </r>
    <rPh sb="9" eb="10">
      <t>スイ</t>
    </rPh>
    <rPh sb="25" eb="26">
      <t>カイ</t>
    </rPh>
    <phoneticPr fontId="3"/>
  </si>
  <si>
    <r>
      <rPr>
        <i/>
        <sz val="10"/>
        <rFont val="Cambria"/>
        <family val="1"/>
      </rPr>
      <t>Q</t>
    </r>
    <r>
      <rPr>
        <vertAlign val="subscript"/>
        <sz val="10"/>
        <rFont val="Cambria"/>
        <family val="1"/>
      </rPr>
      <t xml:space="preserve">iG </t>
    </r>
    <r>
      <rPr>
        <sz val="10"/>
        <rFont val="ＭＳ Ｐゴシック"/>
        <family val="3"/>
        <charset val="128"/>
      </rPr>
      <t>： 待機時ガス消費量[kWh/h]</t>
    </r>
    <phoneticPr fontId="3"/>
  </si>
  <si>
    <r>
      <rPr>
        <i/>
        <sz val="10"/>
        <rFont val="Cambria"/>
        <family val="1"/>
      </rPr>
      <t>Q</t>
    </r>
    <r>
      <rPr>
        <vertAlign val="subscript"/>
        <sz val="10"/>
        <rFont val="Cambria"/>
        <family val="1"/>
      </rPr>
      <t xml:space="preserve">cG </t>
    </r>
    <r>
      <rPr>
        <sz val="10"/>
        <rFont val="ＭＳ Ｐゴシック"/>
        <family val="3"/>
        <charset val="128"/>
      </rPr>
      <t>：</t>
    </r>
    <r>
      <rPr>
        <sz val="10"/>
        <rFont val="Cambria"/>
        <family val="1"/>
      </rPr>
      <t xml:space="preserve"> </t>
    </r>
    <r>
      <rPr>
        <sz val="10"/>
        <rFont val="ＭＳ Ｐゴシック"/>
        <family val="3"/>
        <charset val="128"/>
      </rPr>
      <t>処理時ガス消費量[kWh/h]</t>
    </r>
    <phoneticPr fontId="3"/>
  </si>
  <si>
    <r>
      <rPr>
        <i/>
        <sz val="10"/>
        <rFont val="Cambria"/>
        <family val="1"/>
      </rPr>
      <t>V</t>
    </r>
    <r>
      <rPr>
        <vertAlign val="subscript"/>
        <sz val="10"/>
        <rFont val="Cambria"/>
        <family val="1"/>
      </rPr>
      <t xml:space="preserve">c </t>
    </r>
    <r>
      <rPr>
        <sz val="10"/>
        <rFont val="ＭＳ Ｐゴシック"/>
        <family val="3"/>
        <charset val="128"/>
      </rPr>
      <t>：</t>
    </r>
    <r>
      <rPr>
        <sz val="10"/>
        <rFont val="Cambria"/>
        <family val="1"/>
      </rPr>
      <t xml:space="preserve"> </t>
    </r>
    <r>
      <rPr>
        <sz val="10"/>
        <rFont val="ＭＳ Ｐゴシック"/>
        <family val="3"/>
        <charset val="128"/>
      </rPr>
      <t>連続処理能力[ﾗｯｸ/ｈ]</t>
    </r>
    <rPh sb="5" eb="7">
      <t>レンゾク</t>
    </rPh>
    <phoneticPr fontId="3"/>
  </si>
  <si>
    <r>
      <rPr>
        <i/>
        <sz val="10"/>
        <rFont val="Cambria"/>
        <family val="1"/>
      </rPr>
      <t>h</t>
    </r>
    <r>
      <rPr>
        <vertAlign val="subscript"/>
        <sz val="10"/>
        <rFont val="Cambria"/>
        <family val="1"/>
      </rPr>
      <t xml:space="preserve">d </t>
    </r>
    <r>
      <rPr>
        <sz val="10"/>
        <rFont val="ＭＳ Ｐゴシック"/>
        <family val="3"/>
        <charset val="128"/>
      </rPr>
      <t>：</t>
    </r>
    <r>
      <rPr>
        <sz val="10"/>
        <rFont val="Cambria"/>
        <family val="1"/>
      </rPr>
      <t xml:space="preserve"> </t>
    </r>
    <r>
      <rPr>
        <sz val="10"/>
        <rFont val="ＭＳ Ｐゴシック"/>
        <family val="3"/>
        <charset val="128"/>
      </rPr>
      <t>稼動時間[h/日]　標準値は10h/日</t>
    </r>
    <rPh sb="12" eb="13">
      <t>ヒ</t>
    </rPh>
    <rPh sb="15" eb="18">
      <t>ヒョウジュンチ</t>
    </rPh>
    <rPh sb="23" eb="24">
      <t>ニチ</t>
    </rPh>
    <phoneticPr fontId="3"/>
  </si>
  <si>
    <r>
      <rPr>
        <i/>
        <sz val="10"/>
        <rFont val="Cambria"/>
        <family val="1"/>
      </rPr>
      <t>v</t>
    </r>
    <r>
      <rPr>
        <vertAlign val="subscript"/>
        <sz val="10"/>
        <rFont val="Cambria"/>
        <family val="1"/>
      </rPr>
      <t>d</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日あたり処理量[ﾗｯｸ/日]  標準値は100ﾗｯｸ/日</t>
    </r>
    <rPh sb="21" eb="24">
      <t>ヒョウジュンチ</t>
    </rPh>
    <rPh sb="32" eb="33">
      <t>ニチ</t>
    </rPh>
    <phoneticPr fontId="3"/>
  </si>
  <si>
    <r>
      <t>Q</t>
    </r>
    <r>
      <rPr>
        <vertAlign val="subscript"/>
        <sz val="10"/>
        <rFont val="Cambria"/>
        <family val="1"/>
      </rPr>
      <t xml:space="preserve">sG </t>
    </r>
    <r>
      <rPr>
        <sz val="10"/>
        <rFont val="Cambria"/>
        <family val="1"/>
      </rPr>
      <t>=</t>
    </r>
    <phoneticPr fontId="3"/>
  </si>
  <si>
    <r>
      <t>Q</t>
    </r>
    <r>
      <rPr>
        <vertAlign val="subscript"/>
        <sz val="10"/>
        <rFont val="Cambria"/>
        <family val="1"/>
      </rPr>
      <t xml:space="preserve">iG </t>
    </r>
    <r>
      <rPr>
        <sz val="10"/>
        <rFont val="Cambria"/>
        <family val="1"/>
      </rPr>
      <t>=</t>
    </r>
    <phoneticPr fontId="3"/>
  </si>
  <si>
    <r>
      <t>Q</t>
    </r>
    <r>
      <rPr>
        <vertAlign val="subscript"/>
        <sz val="10"/>
        <rFont val="Cambria"/>
        <family val="1"/>
      </rPr>
      <t xml:space="preserve">cG </t>
    </r>
    <r>
      <rPr>
        <sz val="10"/>
        <rFont val="Cambria"/>
        <family val="1"/>
      </rPr>
      <t>=</t>
    </r>
    <phoneticPr fontId="3"/>
  </si>
  <si>
    <r>
      <t>V</t>
    </r>
    <r>
      <rPr>
        <vertAlign val="subscript"/>
        <sz val="10"/>
        <rFont val="Cambria"/>
        <family val="1"/>
      </rPr>
      <t>c</t>
    </r>
    <r>
      <rPr>
        <sz val="10"/>
        <rFont val="Cambria"/>
        <family val="1"/>
      </rPr>
      <t xml:space="preserve"> = </t>
    </r>
    <phoneticPr fontId="3"/>
  </si>
  <si>
    <r>
      <rPr>
        <i/>
        <sz val="10"/>
        <rFont val="Cambria"/>
        <family val="1"/>
      </rPr>
      <t>h</t>
    </r>
    <r>
      <rPr>
        <vertAlign val="subscript"/>
        <sz val="10"/>
        <rFont val="Cambria"/>
        <family val="1"/>
      </rPr>
      <t>d</t>
    </r>
    <r>
      <rPr>
        <sz val="10"/>
        <rFont val="Cambria"/>
        <family val="1"/>
      </rPr>
      <t xml:space="preserve"> =</t>
    </r>
    <phoneticPr fontId="3"/>
  </si>
  <si>
    <r>
      <rPr>
        <i/>
        <sz val="10"/>
        <rFont val="Cambria"/>
        <family val="1"/>
      </rPr>
      <t>v</t>
    </r>
    <r>
      <rPr>
        <vertAlign val="subscript"/>
        <sz val="10"/>
        <rFont val="Cambria"/>
        <family val="1"/>
      </rPr>
      <t>d</t>
    </r>
    <r>
      <rPr>
        <sz val="10"/>
        <rFont val="Cambria"/>
        <family val="1"/>
      </rPr>
      <t xml:space="preserve"> = </t>
    </r>
    <phoneticPr fontId="3"/>
  </si>
  <si>
    <r>
      <t>n</t>
    </r>
    <r>
      <rPr>
        <vertAlign val="subscript"/>
        <sz val="10"/>
        <rFont val="Cambria"/>
        <family val="1"/>
      </rPr>
      <t xml:space="preserve">s </t>
    </r>
    <r>
      <rPr>
        <sz val="10"/>
        <rFont val="Cambria"/>
        <family val="1"/>
      </rPr>
      <t>=</t>
    </r>
    <phoneticPr fontId="3"/>
  </si>
  <si>
    <r>
      <t>n</t>
    </r>
    <r>
      <rPr>
        <vertAlign val="subscript"/>
        <sz val="10"/>
        <rFont val="Cambria"/>
        <family val="1"/>
      </rPr>
      <t xml:space="preserve">sr </t>
    </r>
    <r>
      <rPr>
        <sz val="10"/>
        <rFont val="Cambria"/>
        <family val="1"/>
      </rPr>
      <t>=</t>
    </r>
    <phoneticPr fontId="3"/>
  </si>
  <si>
    <r>
      <t>Q</t>
    </r>
    <r>
      <rPr>
        <vertAlign val="subscript"/>
        <sz val="14"/>
        <rFont val="Cambria"/>
        <family val="1"/>
      </rPr>
      <t>dVG</t>
    </r>
    <r>
      <rPr>
        <sz val="10"/>
        <rFont val="Cambria"/>
        <family val="1"/>
      </rPr>
      <t xml:space="preserve"> =  </t>
    </r>
    <phoneticPr fontId="3"/>
  </si>
  <si>
    <r>
      <rPr>
        <i/>
        <sz val="10"/>
        <rFont val="Cambria"/>
        <family val="1"/>
      </rPr>
      <t>Q</t>
    </r>
    <r>
      <rPr>
        <vertAlign val="subscript"/>
        <sz val="10"/>
        <rFont val="Cambria"/>
        <family val="1"/>
      </rPr>
      <t>dVG</t>
    </r>
    <r>
      <rPr>
        <sz val="10"/>
        <rFont val="Cambria"/>
        <family val="1"/>
      </rPr>
      <t xml:space="preserve">: </t>
    </r>
    <r>
      <rPr>
        <sz val="10"/>
        <rFont val="ＭＳ Ｐゴシック"/>
        <family val="3"/>
        <charset val="128"/>
      </rPr>
      <t>日あたりガス消費量（量想定）[kWh/日]</t>
    </r>
    <phoneticPr fontId="3"/>
  </si>
  <si>
    <r>
      <t>Q</t>
    </r>
    <r>
      <rPr>
        <vertAlign val="subscript"/>
        <sz val="10"/>
        <rFont val="Cambria"/>
        <family val="1"/>
      </rPr>
      <t xml:space="preserve">sE </t>
    </r>
    <r>
      <rPr>
        <sz val="10"/>
        <rFont val="Cambria"/>
        <family val="1"/>
      </rPr>
      <t>=</t>
    </r>
    <phoneticPr fontId="3"/>
  </si>
  <si>
    <r>
      <t>Q</t>
    </r>
    <r>
      <rPr>
        <vertAlign val="subscript"/>
        <sz val="10"/>
        <rFont val="Cambria"/>
        <family val="1"/>
      </rPr>
      <t xml:space="preserve">cE </t>
    </r>
    <r>
      <rPr>
        <sz val="10"/>
        <rFont val="Cambria"/>
        <family val="1"/>
      </rPr>
      <t>=</t>
    </r>
    <phoneticPr fontId="3"/>
  </si>
  <si>
    <r>
      <t>n</t>
    </r>
    <r>
      <rPr>
        <vertAlign val="subscript"/>
        <sz val="10"/>
        <rFont val="Cambria"/>
        <family val="1"/>
      </rPr>
      <t xml:space="preserve">s </t>
    </r>
    <r>
      <rPr>
        <sz val="10"/>
        <rFont val="Cambria"/>
        <family val="1"/>
      </rPr>
      <t>=</t>
    </r>
    <phoneticPr fontId="3"/>
  </si>
  <si>
    <r>
      <t>n</t>
    </r>
    <r>
      <rPr>
        <vertAlign val="subscript"/>
        <sz val="10"/>
        <rFont val="Cambria"/>
        <family val="1"/>
      </rPr>
      <t xml:space="preserve">sr </t>
    </r>
    <r>
      <rPr>
        <sz val="10"/>
        <rFont val="Cambria"/>
        <family val="1"/>
      </rPr>
      <t>=</t>
    </r>
    <phoneticPr fontId="3"/>
  </si>
  <si>
    <r>
      <t>Q</t>
    </r>
    <r>
      <rPr>
        <vertAlign val="subscript"/>
        <sz val="14"/>
        <rFont val="Cambria"/>
        <family val="1"/>
      </rPr>
      <t>dVE</t>
    </r>
    <r>
      <rPr>
        <sz val="10"/>
        <rFont val="Cambria"/>
        <family val="1"/>
      </rPr>
      <t xml:space="preserve"> =  </t>
    </r>
    <phoneticPr fontId="3"/>
  </si>
  <si>
    <r>
      <t>W</t>
    </r>
    <r>
      <rPr>
        <vertAlign val="subscript"/>
        <sz val="14"/>
        <rFont val="Cambria"/>
        <family val="1"/>
      </rPr>
      <t>s</t>
    </r>
    <r>
      <rPr>
        <sz val="10"/>
        <rFont val="ＭＳ Ｐゴシック"/>
        <family val="3"/>
        <charset val="128"/>
      </rPr>
      <t>　</t>
    </r>
    <r>
      <rPr>
        <sz val="10"/>
        <rFont val="Cambria"/>
        <family val="1"/>
      </rPr>
      <t>=</t>
    </r>
    <phoneticPr fontId="3"/>
  </si>
  <si>
    <r>
      <t>W</t>
    </r>
    <r>
      <rPr>
        <vertAlign val="subscript"/>
        <sz val="14"/>
        <rFont val="Cambria"/>
        <family val="1"/>
      </rPr>
      <t>c</t>
    </r>
    <r>
      <rPr>
        <sz val="10"/>
        <rFont val="ＭＳ Ｐゴシック"/>
        <family val="3"/>
        <charset val="128"/>
      </rPr>
      <t>　</t>
    </r>
    <r>
      <rPr>
        <sz val="10"/>
        <rFont val="Cambria"/>
        <family val="1"/>
      </rPr>
      <t>=</t>
    </r>
    <phoneticPr fontId="3"/>
  </si>
  <si>
    <r>
      <rPr>
        <i/>
        <sz val="10"/>
        <rFont val="Cambria"/>
        <family val="1"/>
      </rPr>
      <t>W</t>
    </r>
    <r>
      <rPr>
        <vertAlign val="subscript"/>
        <sz val="10"/>
        <rFont val="Cambria"/>
        <family val="1"/>
      </rPr>
      <t>s</t>
    </r>
    <r>
      <rPr>
        <sz val="10"/>
        <rFont val="ＭＳ Ｐゴシック"/>
        <family val="3"/>
        <charset val="128"/>
      </rPr>
      <t>：</t>
    </r>
    <r>
      <rPr>
        <sz val="10"/>
        <rFont val="Cambria"/>
        <family val="1"/>
      </rPr>
      <t xml:space="preserve"> </t>
    </r>
    <r>
      <rPr>
        <sz val="10"/>
        <rFont val="ＭＳ Ｐゴシック"/>
        <family val="3"/>
        <charset val="128"/>
      </rPr>
      <t>立上り時給湯（給水）量[ℓ/回]</t>
    </r>
    <rPh sb="11" eb="13">
      <t>キュウスイ</t>
    </rPh>
    <rPh sb="18" eb="19">
      <t>カイ</t>
    </rPh>
    <phoneticPr fontId="3"/>
  </si>
  <si>
    <r>
      <rPr>
        <i/>
        <sz val="10"/>
        <rFont val="Cambria"/>
        <family val="1"/>
      </rPr>
      <t>W</t>
    </r>
    <r>
      <rPr>
        <vertAlign val="subscript"/>
        <sz val="10"/>
        <rFont val="Cambria"/>
        <family val="1"/>
      </rPr>
      <t>c</t>
    </r>
    <r>
      <rPr>
        <sz val="10"/>
        <rFont val="ＭＳ Ｐゴシック"/>
        <family val="3"/>
        <charset val="128"/>
      </rPr>
      <t>：</t>
    </r>
    <r>
      <rPr>
        <sz val="10"/>
        <rFont val="Cambria"/>
        <family val="1"/>
      </rPr>
      <t xml:space="preserve"> </t>
    </r>
    <r>
      <rPr>
        <sz val="10"/>
        <rFont val="ＭＳ Ｐゴシック"/>
        <family val="3"/>
        <charset val="128"/>
      </rPr>
      <t>処理時給湯（給水）量[ℓ/ﾗｯｸ]</t>
    </r>
    <rPh sb="10" eb="12">
      <t>キュウスイ</t>
    </rPh>
    <phoneticPr fontId="3"/>
  </si>
  <si>
    <r>
      <rPr>
        <i/>
        <sz val="10"/>
        <rFont val="Cambria"/>
        <family val="1"/>
      </rPr>
      <t>n</t>
    </r>
    <r>
      <rPr>
        <vertAlign val="subscript"/>
        <sz val="10"/>
        <rFont val="Cambria"/>
        <family val="1"/>
      </rPr>
      <t>s</t>
    </r>
    <r>
      <rPr>
        <sz val="10"/>
        <rFont val="ＭＳ Ｐゴシック"/>
        <family val="3"/>
        <charset val="128"/>
      </rPr>
      <t>：</t>
    </r>
    <r>
      <rPr>
        <sz val="10"/>
        <rFont val="Cambria"/>
        <family val="1"/>
      </rPr>
      <t xml:space="preserve"> </t>
    </r>
    <r>
      <rPr>
        <sz val="10"/>
        <rFont val="ＭＳ Ｐゴシック"/>
        <family val="3"/>
        <charset val="128"/>
      </rPr>
      <t>立上り回数[回/日]　標準値は1回/日</t>
    </r>
    <rPh sb="15" eb="18">
      <t>ヒョウジュンチ</t>
    </rPh>
    <rPh sb="20" eb="21">
      <t>カイ</t>
    </rPh>
    <rPh sb="22" eb="23">
      <t>ニチ</t>
    </rPh>
    <phoneticPr fontId="3"/>
  </si>
  <si>
    <r>
      <rPr>
        <i/>
        <sz val="10"/>
        <rFont val="Cambria"/>
        <family val="1"/>
      </rPr>
      <t>n</t>
    </r>
    <r>
      <rPr>
        <vertAlign val="subscript"/>
        <sz val="10"/>
        <rFont val="Cambria"/>
        <family val="1"/>
      </rPr>
      <t>sr</t>
    </r>
    <r>
      <rPr>
        <sz val="10"/>
        <rFont val="ＭＳ Ｐゴシック"/>
        <family val="3"/>
        <charset val="128"/>
      </rPr>
      <t>：</t>
    </r>
    <r>
      <rPr>
        <sz val="10"/>
        <rFont val="Cambria"/>
        <family val="1"/>
      </rPr>
      <t xml:space="preserve"> </t>
    </r>
    <r>
      <rPr>
        <sz val="10"/>
        <rFont val="ＭＳ Ｐゴシック"/>
        <family val="3"/>
        <charset val="128"/>
      </rPr>
      <t>洗浄水入替え回数[回/日] 　標準値は1 回/日</t>
    </r>
    <phoneticPr fontId="3"/>
  </si>
  <si>
    <r>
      <rPr>
        <i/>
        <sz val="10"/>
        <rFont val="Cambria"/>
        <family val="1"/>
      </rPr>
      <t>v</t>
    </r>
    <r>
      <rPr>
        <vertAlign val="subscript"/>
        <sz val="10"/>
        <rFont val="Cambria"/>
        <family val="1"/>
      </rPr>
      <t>d</t>
    </r>
    <r>
      <rPr>
        <sz val="10"/>
        <rFont val="ＭＳ Ｐゴシック"/>
        <family val="3"/>
        <charset val="128"/>
      </rPr>
      <t>：</t>
    </r>
    <r>
      <rPr>
        <sz val="10"/>
        <rFont val="Cambria"/>
        <family val="1"/>
      </rPr>
      <t xml:space="preserve"> </t>
    </r>
    <r>
      <rPr>
        <sz val="10"/>
        <rFont val="ＭＳ Ｐゴシック"/>
        <family val="3"/>
        <charset val="128"/>
      </rPr>
      <t>日あたり処理量 [ﾗｯｸ/日]　標準値は100ラック/日</t>
    </r>
    <rPh sb="20" eb="23">
      <t>ヒョウジュンチ</t>
    </rPh>
    <rPh sb="31" eb="32">
      <t>ニチ</t>
    </rPh>
    <phoneticPr fontId="3"/>
  </si>
  <si>
    <r>
      <rPr>
        <i/>
        <sz val="10"/>
        <rFont val="Cambria"/>
        <family val="1"/>
      </rPr>
      <t>W</t>
    </r>
    <r>
      <rPr>
        <vertAlign val="subscript"/>
        <sz val="10"/>
        <rFont val="Cambria"/>
        <family val="1"/>
      </rPr>
      <t>dV</t>
    </r>
    <r>
      <rPr>
        <sz val="10"/>
        <rFont val="Cambria"/>
        <family val="1"/>
      </rPr>
      <t xml:space="preserve">: </t>
    </r>
    <r>
      <rPr>
        <sz val="10"/>
        <rFont val="ＭＳ Ｐゴシック"/>
        <family val="3"/>
        <charset val="128"/>
      </rPr>
      <t>日あたり給湯（給水）量（量想定）[ℓ/日]</t>
    </r>
    <rPh sb="12" eb="14">
      <t>キュウスイ</t>
    </rPh>
    <phoneticPr fontId="3"/>
  </si>
  <si>
    <r>
      <t>W</t>
    </r>
    <r>
      <rPr>
        <vertAlign val="subscript"/>
        <sz val="10"/>
        <rFont val="Cambria"/>
        <family val="1"/>
      </rPr>
      <t xml:space="preserve">s </t>
    </r>
    <r>
      <rPr>
        <sz val="10"/>
        <rFont val="Cambria"/>
        <family val="1"/>
      </rPr>
      <t>=</t>
    </r>
    <phoneticPr fontId="3"/>
  </si>
  <si>
    <r>
      <t>W</t>
    </r>
    <r>
      <rPr>
        <vertAlign val="subscript"/>
        <sz val="10"/>
        <rFont val="Cambria"/>
        <family val="1"/>
      </rPr>
      <t xml:space="preserve">c </t>
    </r>
    <r>
      <rPr>
        <sz val="10"/>
        <rFont val="Cambria"/>
        <family val="1"/>
      </rPr>
      <t>=</t>
    </r>
    <phoneticPr fontId="3"/>
  </si>
  <si>
    <r>
      <rPr>
        <i/>
        <sz val="10"/>
        <rFont val="ＭＳ Ｐ明朝"/>
        <family val="1"/>
        <charset val="128"/>
      </rPr>
      <t>　</t>
    </r>
    <r>
      <rPr>
        <i/>
        <sz val="10"/>
        <rFont val="Cambria"/>
        <family val="1"/>
      </rPr>
      <t>n</t>
    </r>
    <r>
      <rPr>
        <vertAlign val="subscript"/>
        <sz val="10"/>
        <rFont val="Cambria"/>
        <family val="1"/>
      </rPr>
      <t xml:space="preserve">s </t>
    </r>
    <r>
      <rPr>
        <sz val="10"/>
        <rFont val="Cambria"/>
        <family val="1"/>
      </rPr>
      <t>=</t>
    </r>
    <phoneticPr fontId="3"/>
  </si>
  <si>
    <r>
      <rPr>
        <i/>
        <sz val="10"/>
        <rFont val="ＭＳ Ｐ明朝"/>
        <family val="1"/>
        <charset val="128"/>
      </rPr>
      <t>　</t>
    </r>
    <r>
      <rPr>
        <i/>
        <sz val="10"/>
        <rFont val="Cambria"/>
        <family val="1"/>
      </rPr>
      <t>n</t>
    </r>
    <r>
      <rPr>
        <vertAlign val="subscript"/>
        <sz val="10"/>
        <rFont val="Cambria"/>
        <family val="1"/>
      </rPr>
      <t xml:space="preserve">sr </t>
    </r>
    <r>
      <rPr>
        <sz val="10"/>
        <rFont val="Cambria"/>
        <family val="1"/>
      </rPr>
      <t>=</t>
    </r>
    <phoneticPr fontId="3"/>
  </si>
  <si>
    <r>
      <t>v</t>
    </r>
    <r>
      <rPr>
        <vertAlign val="subscript"/>
        <sz val="10"/>
        <rFont val="Cambria"/>
        <family val="1"/>
      </rPr>
      <t>d</t>
    </r>
    <r>
      <rPr>
        <sz val="10"/>
        <rFont val="Cambria"/>
        <family val="1"/>
      </rPr>
      <t xml:space="preserve"> = </t>
    </r>
    <phoneticPr fontId="3"/>
  </si>
  <si>
    <r>
      <t>W</t>
    </r>
    <r>
      <rPr>
        <vertAlign val="subscript"/>
        <sz val="14"/>
        <rFont val="Cambria"/>
        <family val="1"/>
      </rPr>
      <t>dV</t>
    </r>
    <r>
      <rPr>
        <sz val="10"/>
        <rFont val="Cambria"/>
        <family val="1"/>
      </rPr>
      <t xml:space="preserve">  =  </t>
    </r>
    <phoneticPr fontId="3"/>
  </si>
  <si>
    <r>
      <rPr>
        <i/>
        <sz val="10"/>
        <rFont val="Cambria"/>
        <family val="1"/>
      </rPr>
      <t>θ</t>
    </r>
    <r>
      <rPr>
        <vertAlign val="subscript"/>
        <sz val="10"/>
        <rFont val="Cambria"/>
        <family val="1"/>
      </rPr>
      <t xml:space="preserve">s </t>
    </r>
    <r>
      <rPr>
        <sz val="10"/>
        <rFont val="Cambria"/>
        <family val="1"/>
      </rPr>
      <t xml:space="preserve"> =</t>
    </r>
    <phoneticPr fontId="3"/>
  </si>
  <si>
    <r>
      <rPr>
        <sz val="10"/>
        <rFont val="Cambria"/>
        <family val="1"/>
      </rPr>
      <t>θ</t>
    </r>
    <r>
      <rPr>
        <vertAlign val="subscript"/>
        <sz val="10"/>
        <rFont val="Cambria"/>
        <family val="1"/>
      </rPr>
      <t>s</t>
    </r>
    <r>
      <rPr>
        <sz val="10"/>
        <rFont val="Cambria"/>
        <family val="1"/>
      </rPr>
      <t xml:space="preserve"> </t>
    </r>
    <r>
      <rPr>
        <sz val="10"/>
        <rFont val="ＭＳ Ｐゴシック"/>
        <family val="3"/>
        <charset val="128"/>
      </rPr>
      <t>：仕上げすすぎタンクの水の初温[℃]</t>
    </r>
    <phoneticPr fontId="3"/>
  </si>
  <si>
    <r>
      <rPr>
        <i/>
        <sz val="10"/>
        <rFont val="Cambria"/>
        <family val="1"/>
      </rPr>
      <t>θ</t>
    </r>
    <r>
      <rPr>
        <vertAlign val="subscript"/>
        <sz val="10"/>
        <rFont val="Cambria"/>
        <family val="1"/>
      </rPr>
      <t>s</t>
    </r>
    <r>
      <rPr>
        <sz val="10"/>
        <rFont val="Cambria"/>
        <family val="1"/>
      </rPr>
      <t xml:space="preserve"> </t>
    </r>
    <r>
      <rPr>
        <sz val="10"/>
        <rFont val="ＭＳ Ｐゴシック"/>
        <family val="3"/>
        <charset val="128"/>
      </rPr>
      <t>：仕上げすすぎタンクの水の初温[℃]</t>
    </r>
    <phoneticPr fontId="3"/>
  </si>
  <si>
    <r>
      <rPr>
        <i/>
        <sz val="10"/>
        <rFont val="Cambria"/>
        <family val="1"/>
      </rPr>
      <t>θ</t>
    </r>
    <r>
      <rPr>
        <vertAlign val="subscript"/>
        <sz val="10"/>
        <rFont val="Cambria"/>
        <family val="1"/>
      </rPr>
      <t>h</t>
    </r>
    <r>
      <rPr>
        <sz val="10"/>
        <rFont val="Cambria"/>
        <family val="1"/>
      </rPr>
      <t xml:space="preserve"> : </t>
    </r>
    <r>
      <rPr>
        <sz val="10"/>
        <rFont val="ＭＳ Ｐゴシック"/>
        <family val="3"/>
        <charset val="128"/>
      </rPr>
      <t>給湯（給水）温度</t>
    </r>
    <r>
      <rPr>
        <sz val="10"/>
        <rFont val="Symbol"/>
        <family val="1"/>
        <charset val="2"/>
      </rPr>
      <t>[</t>
    </r>
    <r>
      <rPr>
        <sz val="10"/>
        <rFont val="ＭＳ Ｐゴシック"/>
        <family val="3"/>
        <charset val="128"/>
      </rPr>
      <t>℃</t>
    </r>
    <r>
      <rPr>
        <sz val="10"/>
        <rFont val="Symbol"/>
        <family val="1"/>
        <charset val="2"/>
      </rPr>
      <t>]</t>
    </r>
    <rPh sb="8" eb="10">
      <t>キュウスイ</t>
    </rPh>
    <phoneticPr fontId="3"/>
  </si>
  <si>
    <r>
      <rPr>
        <i/>
        <sz val="10"/>
        <rFont val="Cambria"/>
        <family val="1"/>
      </rPr>
      <t>θ</t>
    </r>
    <r>
      <rPr>
        <vertAlign val="subscript"/>
        <sz val="10"/>
        <rFont val="Cambria"/>
        <family val="1"/>
      </rPr>
      <t xml:space="preserve">t </t>
    </r>
    <r>
      <rPr>
        <sz val="10"/>
        <rFont val="Cambria"/>
        <family val="1"/>
      </rPr>
      <t xml:space="preserve">: </t>
    </r>
    <r>
      <rPr>
        <sz val="10"/>
        <rFont val="ＭＳ Ｐゴシック"/>
        <family val="3"/>
        <charset val="128"/>
      </rPr>
      <t>すすぎ開始時の仕上げすすぎタンクの温度</t>
    </r>
    <r>
      <rPr>
        <sz val="10"/>
        <rFont val="Symbol"/>
        <family val="1"/>
        <charset val="2"/>
      </rPr>
      <t>[</t>
    </r>
    <r>
      <rPr>
        <sz val="10"/>
        <rFont val="ＭＳ Ｐゴシック"/>
        <family val="3"/>
        <charset val="128"/>
      </rPr>
      <t>℃</t>
    </r>
    <r>
      <rPr>
        <sz val="10"/>
        <rFont val="Symbol"/>
        <family val="1"/>
        <charset val="2"/>
      </rPr>
      <t>]</t>
    </r>
    <phoneticPr fontId="3"/>
  </si>
  <si>
    <r>
      <t>θ</t>
    </r>
    <r>
      <rPr>
        <vertAlign val="subscript"/>
        <sz val="10"/>
        <rFont val="Cambria"/>
        <family val="1"/>
      </rPr>
      <t xml:space="preserve">s </t>
    </r>
    <r>
      <rPr>
        <sz val="10"/>
        <rFont val="Cambria"/>
        <family val="1"/>
      </rPr>
      <t xml:space="preserve"> =</t>
    </r>
    <phoneticPr fontId="3"/>
  </si>
  <si>
    <r>
      <rPr>
        <i/>
        <sz val="10"/>
        <rFont val="Cambria"/>
        <family val="1"/>
      </rPr>
      <t>V</t>
    </r>
    <r>
      <rPr>
        <vertAlign val="subscript"/>
        <sz val="10"/>
        <rFont val="Cambria"/>
        <family val="1"/>
      </rPr>
      <t>m</t>
    </r>
    <r>
      <rPr>
        <sz val="10"/>
        <rFont val="Cambria"/>
        <family val="1"/>
      </rPr>
      <t>:</t>
    </r>
    <r>
      <rPr>
        <vertAlign val="subscript"/>
        <sz val="10"/>
        <rFont val="Cambria"/>
        <family val="1"/>
      </rPr>
      <t xml:space="preserve"> </t>
    </r>
    <r>
      <rPr>
        <sz val="10"/>
        <rFont val="ＭＳ Ｐゴシック"/>
        <family val="3"/>
        <charset val="128"/>
      </rPr>
      <t>最大処理量[ラック/回]</t>
    </r>
    <phoneticPr fontId="3"/>
  </si>
  <si>
    <t>⑤日あたり</t>
    <rPh sb="1" eb="2">
      <t>ヒ</t>
    </rPh>
    <phoneticPr fontId="3"/>
  </si>
  <si>
    <r>
      <t>　　　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</si>
  <si>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</si>
  <si>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rPr>
        <i/>
        <sz val="10"/>
        <rFont val="Cambria"/>
        <family val="1"/>
      </rPr>
      <t>T</t>
    </r>
    <r>
      <rPr>
        <vertAlign val="subscript"/>
        <sz val="10"/>
        <rFont val="Cambria"/>
        <family val="1"/>
      </rPr>
      <t xml:space="preserve">G </t>
    </r>
    <r>
      <rPr>
        <sz val="10"/>
        <rFont val="Cambria"/>
        <family val="1"/>
      </rPr>
      <t>=</t>
    </r>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</si>
  <si>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</si>
  <si>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</si>
  <si>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</si>
  <si>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</si>
  <si>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</si>
  <si>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</si>
  <si>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rPr>
        <i/>
        <sz val="10"/>
        <rFont val="Cambria"/>
        <family val="1"/>
      </rPr>
      <t>T</t>
    </r>
    <r>
      <rPr>
        <vertAlign val="subscript"/>
        <sz val="10"/>
        <rFont val="Cambria"/>
        <family val="1"/>
      </rPr>
      <t>G</t>
    </r>
    <r>
      <rPr>
        <sz val="10"/>
        <rFont val="ＭＳ Ｐゴシック"/>
        <family val="3"/>
        <charset val="128"/>
      </rPr>
      <t>：実測時間[s]</t>
    </r>
    <rPh sb="3" eb="5">
      <t>ジッソク</t>
    </rPh>
    <rPh sb="5" eb="7">
      <t>ジカン</t>
    </rPh>
    <phoneticPr fontId="3"/>
  </si>
  <si>
    <r>
      <rPr>
        <i/>
        <sz val="10"/>
        <rFont val="Cambria"/>
        <family val="1"/>
      </rPr>
      <t>U</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</si>
  <si>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Cambria"/>
        <family val="1"/>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</si>
  <si>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</si>
  <si>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測定時の大気圧[kPa]</t>
    </r>
    <phoneticPr fontId="3"/>
  </si>
  <si>
    <r>
      <rPr>
        <i/>
        <sz val="10"/>
        <rFont val="Cambria"/>
        <family val="1"/>
      </rPr>
      <t>Π</t>
    </r>
    <r>
      <rPr>
        <vertAlign val="subscript"/>
        <sz val="10"/>
        <rFont val="Cambria"/>
        <family val="1"/>
      </rPr>
      <t>G</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測定時のガスメータ内のガス圧力[kPa]</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</si>
  <si>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entury"/>
        <family val="1"/>
      </rPr>
      <t>θ</t>
    </r>
    <r>
      <rPr>
        <vertAlign val="subscript"/>
        <sz val="10"/>
        <rFont val="Century"/>
        <family val="1"/>
      </rPr>
      <t>G</t>
    </r>
    <r>
      <rPr>
        <sz val="10"/>
        <rFont val="ＭＳ Ｐゴシック"/>
        <family val="3"/>
        <charset val="128"/>
      </rPr>
      <t xml:space="preserve"> ℃における飽和水蒸気圧[kPa]</t>
    </r>
    <phoneticPr fontId="3"/>
  </si>
  <si>
    <r>
      <t>　試験機器の最大ガス消費量：</t>
    </r>
    <r>
      <rPr>
        <b/>
        <i/>
        <sz val="11"/>
        <rFont val="Cambria"/>
        <family val="1"/>
      </rPr>
      <t>p</t>
    </r>
    <r>
      <rPr>
        <b/>
        <vertAlign val="subscript"/>
        <sz val="11"/>
        <rFont val="Cambria"/>
        <family val="1"/>
      </rPr>
      <t>xG</t>
    </r>
    <r>
      <rPr>
        <b/>
        <sz val="11"/>
        <rFont val="Cambria"/>
        <family val="1"/>
      </rPr>
      <t>[kW]</t>
    </r>
    <rPh sb="1" eb="3">
      <t>シケン</t>
    </rPh>
    <rPh sb="3" eb="5">
      <t>キキ</t>
    </rPh>
    <rPh sb="6" eb="8">
      <t>サイダイ</t>
    </rPh>
    <rPh sb="10" eb="12">
      <t>ショウヒ</t>
    </rPh>
    <rPh sb="12" eb="13">
      <t>リョウ</t>
    </rPh>
    <phoneticPr fontId="3"/>
  </si>
  <si>
    <r>
      <t>　　試験機器の初期状態は、洗浄タンクは空、および、仕上げすすぎタンクは満水とする。初期状態の試験機器を室温になじませた後、最大入力で給湯および加熱を始める。洗浄タンクが満水になった後に試験食器や試験食器ラックを投入しないで、連続して10回洗浄運転する。定格水量の水を入れ、室温になじませた後、最大入力で加熱を始め、ガス消費量がほぼ一定になった時の値を試験機器の</t>
    </r>
    <r>
      <rPr>
        <sz val="10"/>
        <color indexed="8"/>
        <rFont val="ＭＳ Ｐゴシック"/>
        <family val="3"/>
        <charset val="128"/>
      </rPr>
      <t>最大ガス消費量</t>
    </r>
    <r>
      <rPr>
        <i/>
        <sz val="10"/>
        <color indexed="8"/>
        <rFont val="Cambria"/>
        <family val="1"/>
      </rPr>
      <t>p</t>
    </r>
    <r>
      <rPr>
        <vertAlign val="subscript"/>
        <sz val="10"/>
        <color indexed="8"/>
        <rFont val="Cambria"/>
        <family val="1"/>
      </rPr>
      <t>xG</t>
    </r>
    <r>
      <rPr>
        <sz val="10"/>
        <color indexed="8"/>
        <rFont val="ＭＳ Ｐゴシック"/>
        <family val="3"/>
        <charset val="128"/>
      </rPr>
      <t>[kW] とする。</t>
    </r>
    <rPh sb="126" eb="128">
      <t>テイカク</t>
    </rPh>
    <rPh sb="128" eb="130">
      <t>スイリョウ</t>
    </rPh>
    <rPh sb="131" eb="132">
      <t>ミズ</t>
    </rPh>
    <rPh sb="133" eb="134">
      <t>イ</t>
    </rPh>
    <rPh sb="136" eb="138">
      <t>シツオン</t>
    </rPh>
    <rPh sb="161" eb="162">
      <t>リョウ</t>
    </rPh>
    <rPh sb="180" eb="182">
      <t>サイダイ</t>
    </rPh>
    <rPh sb="184" eb="187">
      <t>ショウヒリョウ</t>
    </rPh>
    <phoneticPr fontId="3"/>
  </si>
  <si>
    <r>
      <t>（m</t>
    </r>
    <r>
      <rPr>
        <vertAlign val="superscript"/>
        <sz val="9"/>
        <rFont val="ＭＳ Ｐゴシック"/>
        <family val="3"/>
        <charset val="128"/>
      </rPr>
      <t>3</t>
    </r>
    <r>
      <rPr>
        <sz val="9"/>
        <rFont val="ＭＳ Ｐゴシック"/>
        <family val="3"/>
        <charset val="128"/>
      </rPr>
      <t>）</t>
    </r>
    <phoneticPr fontId="3"/>
  </si>
  <si>
    <r>
      <t>（m</t>
    </r>
    <r>
      <rPr>
        <vertAlign val="superscript"/>
        <sz val="10"/>
        <rFont val="ＭＳ Ｐゴシック"/>
        <family val="3"/>
        <charset val="128"/>
      </rPr>
      <t>3</t>
    </r>
    <r>
      <rPr>
        <sz val="10"/>
        <rFont val="ＭＳ Ｐゴシック"/>
        <family val="3"/>
        <charset val="128"/>
      </rPr>
      <t>）</t>
    </r>
    <phoneticPr fontId="3"/>
  </si>
  <si>
    <r>
      <t>（ｋJ/m</t>
    </r>
    <r>
      <rPr>
        <vertAlign val="superscript"/>
        <sz val="10"/>
        <rFont val="ＭＳ Ｐゴシック"/>
        <family val="3"/>
        <charset val="128"/>
      </rPr>
      <t>3</t>
    </r>
    <r>
      <rPr>
        <sz val="10"/>
        <rFont val="ＭＳ Ｐゴシック"/>
        <family val="3"/>
        <charset val="128"/>
      </rPr>
      <t>N)</t>
    </r>
    <phoneticPr fontId="3"/>
  </si>
  <si>
    <r>
      <t>　試験機器の定格エネルギー消費量（ガス）：</t>
    </r>
    <r>
      <rPr>
        <b/>
        <i/>
        <sz val="11"/>
        <rFont val="Cambria"/>
        <family val="1"/>
      </rPr>
      <t>p</t>
    </r>
    <r>
      <rPr>
        <b/>
        <vertAlign val="subscript"/>
        <sz val="11"/>
        <rFont val="Cambria"/>
        <family val="1"/>
      </rPr>
      <t>rG</t>
    </r>
    <r>
      <rPr>
        <b/>
        <sz val="11"/>
        <rFont val="ＭＳ Ｐゴシック"/>
        <family val="3"/>
        <charset val="128"/>
      </rPr>
      <t>[kW]</t>
    </r>
    <rPh sb="1" eb="3">
      <t>シケン</t>
    </rPh>
    <rPh sb="3" eb="5">
      <t>キキ</t>
    </rPh>
    <rPh sb="6" eb="8">
      <t>テイカク</t>
    </rPh>
    <rPh sb="13" eb="16">
      <t>ショウヒリョウ</t>
    </rPh>
    <phoneticPr fontId="3"/>
  </si>
  <si>
    <r>
      <rPr>
        <i/>
        <sz val="10"/>
        <rFont val="Cambria"/>
        <family val="1"/>
      </rPr>
      <t>ε</t>
    </r>
    <r>
      <rPr>
        <vertAlign val="subscript"/>
        <sz val="10"/>
        <rFont val="Cambria"/>
        <family val="1"/>
      </rPr>
      <t>p</t>
    </r>
    <r>
      <rPr>
        <sz val="10"/>
        <rFont val="Cambria"/>
        <family val="1"/>
      </rPr>
      <t xml:space="preserve"> =</t>
    </r>
    <phoneticPr fontId="3"/>
  </si>
  <si>
    <r>
      <t>　試験機器の最大消費電力と定格消費電力の差</t>
    </r>
    <r>
      <rPr>
        <i/>
        <sz val="10"/>
        <rFont val="Cambria"/>
        <family val="1"/>
      </rPr>
      <t>ε</t>
    </r>
    <r>
      <rPr>
        <vertAlign val="subscript"/>
        <sz val="10"/>
        <rFont val="Cambria"/>
        <family val="1"/>
      </rPr>
      <t>pE</t>
    </r>
    <r>
      <rPr>
        <sz val="10"/>
        <rFont val="ＭＳ Ｐゴシック"/>
        <family val="3"/>
        <charset val="128"/>
      </rPr>
      <t>[%] が消費電力の許容差に適合するように、定格消費電力</t>
    </r>
    <r>
      <rPr>
        <i/>
        <sz val="10"/>
        <rFont val="Cambria"/>
        <family val="1"/>
      </rPr>
      <t>p</t>
    </r>
    <r>
      <rPr>
        <vertAlign val="subscript"/>
        <sz val="10"/>
        <rFont val="Cambria"/>
        <family val="1"/>
      </rPr>
      <t>rE</t>
    </r>
    <r>
      <rPr>
        <sz val="10"/>
        <rFont val="ＭＳ Ｐゴシック"/>
        <family val="3"/>
        <charset val="128"/>
      </rPr>
      <t>[kW] を定める。</t>
    </r>
    <phoneticPr fontId="3"/>
  </si>
  <si>
    <r>
      <t>　試験機器の最大消費電力：</t>
    </r>
    <r>
      <rPr>
        <b/>
        <i/>
        <sz val="11"/>
        <rFont val="Cambria"/>
        <family val="1"/>
      </rPr>
      <t>p</t>
    </r>
    <r>
      <rPr>
        <b/>
        <i/>
        <vertAlign val="subscript"/>
        <sz val="11"/>
        <rFont val="Cambria"/>
        <family val="1"/>
      </rPr>
      <t>xE</t>
    </r>
    <r>
      <rPr>
        <b/>
        <sz val="11"/>
        <rFont val="ＭＳ Ｐゴシック"/>
        <family val="3"/>
        <charset val="128"/>
      </rPr>
      <t>[kW]</t>
    </r>
    <rPh sb="1" eb="3">
      <t>シケン</t>
    </rPh>
    <rPh sb="3" eb="5">
      <t>キキ</t>
    </rPh>
    <rPh sb="6" eb="8">
      <t>サイダイ</t>
    </rPh>
    <rPh sb="8" eb="10">
      <t>ショウヒ</t>
    </rPh>
    <rPh sb="10" eb="12">
      <t>デンリョク</t>
    </rPh>
    <phoneticPr fontId="3"/>
  </si>
  <si>
    <r>
      <t xml:space="preserve">　試験機器の初期状態は、洗浄タンクは空、および、仕上げすすぎタンクは満水とする。初期状態の試験機器を室温になじませた後、最大入力で給湯および加熱を始める。洗浄タンクが満水になった後に試験食器や試験食器ラックを投入しないで、連続して10回洗浄運転する。加熱を始めてから洗浄運転を10回終わるまでの間の消費電力の最大値を試験機器の最大消費電力 </t>
    </r>
    <r>
      <rPr>
        <i/>
        <sz val="10"/>
        <rFont val="Cambria"/>
        <family val="1"/>
      </rPr>
      <t>p</t>
    </r>
    <r>
      <rPr>
        <vertAlign val="subscript"/>
        <sz val="10"/>
        <rFont val="Cambria"/>
        <family val="1"/>
      </rPr>
      <t>xE</t>
    </r>
    <r>
      <rPr>
        <sz val="10"/>
        <rFont val="Century"/>
        <family val="1"/>
      </rPr>
      <t xml:space="preserve"> </t>
    </r>
    <r>
      <rPr>
        <sz val="10"/>
        <rFont val="ＭＳ Ｐゴシック"/>
        <family val="3"/>
        <charset val="128"/>
      </rPr>
      <t>[kW] とする。</t>
    </r>
    <rPh sb="149" eb="151">
      <t>ショウヒ</t>
    </rPh>
    <rPh sb="151" eb="153">
      <t>デンリョク</t>
    </rPh>
    <phoneticPr fontId="3"/>
  </si>
  <si>
    <r>
      <rPr>
        <i/>
        <sz val="10"/>
        <rFont val="Cambria"/>
        <family val="1"/>
      </rPr>
      <t>ε</t>
    </r>
    <r>
      <rPr>
        <vertAlign val="subscript"/>
        <sz val="10"/>
        <rFont val="Cambria"/>
        <family val="1"/>
      </rPr>
      <t>p</t>
    </r>
    <r>
      <rPr>
        <sz val="10"/>
        <rFont val="Cambria"/>
        <family val="1"/>
      </rPr>
      <t xml:space="preserve"> </t>
    </r>
    <r>
      <rPr>
        <sz val="10"/>
        <rFont val="ＭＳ Ｐゴシック"/>
        <family val="3"/>
        <charset val="128"/>
      </rPr>
      <t>=</t>
    </r>
    <phoneticPr fontId="3"/>
  </si>
  <si>
    <r>
      <rPr>
        <i/>
        <sz val="10"/>
        <rFont val="Cambria"/>
        <family val="1"/>
      </rPr>
      <t>ε</t>
    </r>
    <r>
      <rPr>
        <vertAlign val="subscript"/>
        <sz val="10"/>
        <rFont val="Cambria"/>
        <family val="1"/>
      </rPr>
      <t xml:space="preserve">p </t>
    </r>
    <r>
      <rPr>
        <sz val="10"/>
        <rFont val="ＭＳ Ｐゴシック"/>
        <family val="3"/>
        <charset val="128"/>
      </rPr>
      <t>：</t>
    </r>
    <r>
      <rPr>
        <sz val="10"/>
        <rFont val="Century"/>
        <family val="1"/>
      </rPr>
      <t xml:space="preserve"> </t>
    </r>
    <r>
      <rPr>
        <sz val="10"/>
        <rFont val="ＭＳ Ｐゴシック"/>
        <family val="3"/>
        <charset val="128"/>
      </rPr>
      <t>試験機器の最大消費電力と定格消費電力の差</t>
    </r>
    <rPh sb="10" eb="12">
      <t>サイダイ</t>
    </rPh>
    <rPh sb="12" eb="14">
      <t>ショウヒ</t>
    </rPh>
    <rPh sb="14" eb="16">
      <t>デンリョク</t>
    </rPh>
    <rPh sb="17" eb="19">
      <t>テイカク</t>
    </rPh>
    <rPh sb="19" eb="21">
      <t>ショウヒ</t>
    </rPh>
    <rPh sb="21" eb="22">
      <t>デン</t>
    </rPh>
    <rPh sb="22" eb="23">
      <t>リョク</t>
    </rPh>
    <rPh sb="24" eb="25">
      <t>サ</t>
    </rPh>
    <phoneticPr fontId="3"/>
  </si>
  <si>
    <r>
      <rPr>
        <sz val="10"/>
        <rFont val="ＭＳ Ｐゴシック"/>
        <family val="3"/>
        <charset val="128"/>
      </rPr>
      <t>　試験機器の初期状態は、洗浄タンクは空、および、仕上げすすぎタンクは満水とする。初期状態の試験機器を室温になじませた後、仕上げすすぎタンクの水の初温</t>
    </r>
    <r>
      <rPr>
        <i/>
        <sz val="10"/>
        <rFont val="Cambria"/>
        <family val="1"/>
      </rPr>
      <t>θ</t>
    </r>
    <r>
      <rPr>
        <vertAlign val="subscript"/>
        <sz val="10"/>
        <rFont val="Cambria"/>
        <family val="1"/>
      </rPr>
      <t xml:space="preserve">s </t>
    </r>
    <r>
      <rPr>
        <sz val="10"/>
        <rFont val="Cambria"/>
        <family val="1"/>
      </rPr>
      <t>[</t>
    </r>
    <r>
      <rPr>
        <sz val="10"/>
        <rFont val="ＭＳ Ｐゴシック"/>
        <family val="3"/>
        <charset val="128"/>
      </rPr>
      <t>℃</t>
    </r>
    <r>
      <rPr>
        <sz val="10"/>
        <rFont val="Cambria"/>
        <family val="1"/>
      </rPr>
      <t xml:space="preserve">] </t>
    </r>
    <r>
      <rPr>
        <sz val="10"/>
        <rFont val="ＭＳ Ｐゴシック"/>
        <family val="3"/>
        <charset val="128"/>
      </rPr>
      <t>を測定する。給湯および加熱を始め、洗浄タンクが</t>
    </r>
    <r>
      <rPr>
        <sz val="10"/>
        <rFont val="Cambria"/>
        <family val="1"/>
      </rPr>
      <t xml:space="preserve">60 </t>
    </r>
    <r>
      <rPr>
        <sz val="10"/>
        <rFont val="ＭＳ Ｐゴシック"/>
        <family val="3"/>
        <charset val="128"/>
      </rPr>
      <t>℃以上の満水に達した時間</t>
    </r>
    <r>
      <rPr>
        <i/>
        <sz val="10"/>
        <rFont val="Cambria"/>
        <family val="1"/>
      </rPr>
      <t>T</t>
    </r>
    <r>
      <rPr>
        <vertAlign val="subscript"/>
        <sz val="10"/>
        <rFont val="Cambria"/>
        <family val="1"/>
      </rPr>
      <t xml:space="preserve">2  </t>
    </r>
    <r>
      <rPr>
        <sz val="10"/>
        <rFont val="Cambria"/>
        <family val="1"/>
      </rPr>
      <t>[min]</t>
    </r>
    <r>
      <rPr>
        <sz val="10"/>
        <rFont val="ＭＳ Ｐゴシック"/>
        <family val="3"/>
        <charset val="128"/>
      </rPr>
      <t>および仕上げすすぎタンクの水温が</t>
    </r>
    <r>
      <rPr>
        <sz val="10"/>
        <rFont val="Cambria"/>
        <family val="1"/>
      </rPr>
      <t xml:space="preserve">80 </t>
    </r>
    <r>
      <rPr>
        <sz val="10"/>
        <rFont val="ＭＳ Ｐゴシック"/>
        <family val="3"/>
        <charset val="128"/>
      </rPr>
      <t>℃に達した時間</t>
    </r>
    <r>
      <rPr>
        <i/>
        <sz val="10"/>
        <rFont val="Cambria"/>
        <family val="1"/>
      </rPr>
      <t>T</t>
    </r>
    <r>
      <rPr>
        <vertAlign val="subscript"/>
        <sz val="10"/>
        <rFont val="Cambria"/>
        <family val="1"/>
      </rPr>
      <t xml:space="preserve">3  </t>
    </r>
    <r>
      <rPr>
        <sz val="10"/>
        <rFont val="Cambria"/>
        <family val="1"/>
      </rPr>
      <t xml:space="preserve">[min] </t>
    </r>
    <r>
      <rPr>
        <sz val="10"/>
        <rFont val="ＭＳ Ｐゴシック"/>
        <family val="3"/>
        <charset val="128"/>
      </rPr>
      <t>、ならびに、すべてが達した時間までのガス消費量</t>
    </r>
    <r>
      <rPr>
        <i/>
        <sz val="10"/>
        <rFont val="Cambria"/>
        <family val="1"/>
      </rPr>
      <t>P</t>
    </r>
    <r>
      <rPr>
        <vertAlign val="subscript"/>
        <sz val="10"/>
        <rFont val="Cambria"/>
        <family val="1"/>
      </rPr>
      <t xml:space="preserve">sG </t>
    </r>
    <r>
      <rPr>
        <sz val="10"/>
        <rFont val="Cambria"/>
        <family val="1"/>
      </rPr>
      <t>[kWh/</t>
    </r>
    <r>
      <rPr>
        <sz val="10"/>
        <rFont val="ＭＳ Ｐゴシック"/>
        <family val="3"/>
        <charset val="128"/>
      </rPr>
      <t>回</t>
    </r>
    <r>
      <rPr>
        <sz val="10"/>
        <rFont val="Cambria"/>
        <family val="1"/>
      </rPr>
      <t xml:space="preserve">] </t>
    </r>
    <r>
      <rPr>
        <sz val="10"/>
        <rFont val="ＭＳ Ｐゴシック"/>
        <family val="3"/>
        <charset val="128"/>
      </rPr>
      <t>および消費電力量</t>
    </r>
    <r>
      <rPr>
        <i/>
        <sz val="10"/>
        <rFont val="Cambria"/>
        <family val="1"/>
      </rPr>
      <t>P</t>
    </r>
    <r>
      <rPr>
        <vertAlign val="subscript"/>
        <sz val="10"/>
        <rFont val="Cambria"/>
        <family val="1"/>
      </rPr>
      <t>sE</t>
    </r>
    <r>
      <rPr>
        <sz val="10"/>
        <rFont val="Cambria"/>
        <family val="1"/>
      </rPr>
      <t xml:space="preserve">  [kWh/</t>
    </r>
    <r>
      <rPr>
        <sz val="10"/>
        <rFont val="ＭＳ Ｐゴシック"/>
        <family val="3"/>
        <charset val="128"/>
      </rPr>
      <t>回</t>
    </r>
    <r>
      <rPr>
        <sz val="10"/>
        <rFont val="Cambria"/>
        <family val="1"/>
      </rPr>
      <t xml:space="preserve">] </t>
    </r>
    <r>
      <rPr>
        <sz val="10"/>
        <rFont val="ＭＳ Ｐゴシック"/>
        <family val="3"/>
        <charset val="128"/>
      </rPr>
      <t>を測定する。
　立上り性能</t>
    </r>
    <r>
      <rPr>
        <i/>
        <sz val="10"/>
        <rFont val="Cambria"/>
        <family val="1"/>
      </rPr>
      <t>T</t>
    </r>
    <r>
      <rPr>
        <vertAlign val="subscript"/>
        <sz val="10"/>
        <rFont val="Cambria"/>
        <family val="1"/>
      </rPr>
      <t xml:space="preserve">s </t>
    </r>
    <r>
      <rPr>
        <sz val="10"/>
        <rFont val="Cambria"/>
        <family val="1"/>
      </rPr>
      <t xml:space="preserve"> [min] </t>
    </r>
    <r>
      <rPr>
        <sz val="10"/>
        <rFont val="ＭＳ Ｐゴシック"/>
        <family val="3"/>
        <charset val="128"/>
      </rPr>
      <t>は、次式の大きい方になる。待機状態は、洗浄タンクが</t>
    </r>
    <r>
      <rPr>
        <sz val="10"/>
        <rFont val="Cambria"/>
        <family val="1"/>
      </rPr>
      <t xml:space="preserve">60 </t>
    </r>
    <r>
      <rPr>
        <sz val="10"/>
        <rFont val="ＭＳ Ｐゴシック"/>
        <family val="3"/>
        <charset val="128"/>
      </rPr>
      <t>℃以上の満水、および、仕上げすすぎタンクが</t>
    </r>
    <r>
      <rPr>
        <sz val="10"/>
        <rFont val="Cambria"/>
        <family val="1"/>
      </rPr>
      <t xml:space="preserve">80 </t>
    </r>
    <r>
      <rPr>
        <sz val="10"/>
        <rFont val="ＭＳ Ｐゴシック"/>
        <family val="3"/>
        <charset val="128"/>
      </rPr>
      <t>℃以上の満水とする。</t>
    </r>
    <rPh sb="184" eb="187">
      <t>ショウヒリョウ</t>
    </rPh>
    <phoneticPr fontId="3"/>
  </si>
  <si>
    <r>
      <rPr>
        <i/>
        <sz val="10"/>
        <rFont val="Cambria"/>
        <family val="1"/>
      </rPr>
      <t>θ</t>
    </r>
    <r>
      <rPr>
        <vertAlign val="subscript"/>
        <sz val="10"/>
        <rFont val="Cambria"/>
        <family val="1"/>
      </rPr>
      <t>f</t>
    </r>
    <r>
      <rPr>
        <vertAlign val="subscript"/>
        <sz val="10"/>
        <rFont val="Cambria"/>
        <family val="1"/>
      </rPr>
      <t>w</t>
    </r>
    <r>
      <rPr>
        <sz val="10"/>
        <rFont val="Cambria"/>
        <family val="1"/>
      </rPr>
      <t xml:space="preserve"> </t>
    </r>
    <r>
      <rPr>
        <sz val="10"/>
        <rFont val="ＭＳ Ｐゴシック"/>
        <family val="3"/>
        <charset val="128"/>
      </rPr>
      <t>：洗浄タンクの最終到達温度[℃]</t>
    </r>
    <rPh sb="5" eb="7">
      <t>センジョウ</t>
    </rPh>
    <rPh sb="11" eb="13">
      <t>サイシュウ</t>
    </rPh>
    <rPh sb="13" eb="15">
      <t>トウタツ</t>
    </rPh>
    <phoneticPr fontId="3"/>
  </si>
  <si>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：立上り性能[min]</t>
    </r>
    <phoneticPr fontId="3"/>
  </si>
  <si>
    <r>
      <rPr>
        <sz val="12"/>
        <rFont val="ＭＳ Ｐゴシック"/>
        <family val="3"/>
        <charset val="128"/>
      </rPr>
      <t>　</t>
    </r>
    <r>
      <rPr>
        <i/>
        <sz val="12"/>
        <rFont val="Cambria"/>
        <family val="1"/>
      </rPr>
      <t>T</t>
    </r>
    <r>
      <rPr>
        <vertAlign val="subscript"/>
        <sz val="12"/>
        <rFont val="Cambria"/>
        <family val="1"/>
      </rPr>
      <t>s</t>
    </r>
    <r>
      <rPr>
        <sz val="12"/>
        <rFont val="Cambria"/>
        <family val="1"/>
      </rPr>
      <t>=</t>
    </r>
    <r>
      <rPr>
        <i/>
        <sz val="12"/>
        <rFont val="Cambria"/>
        <family val="1"/>
      </rPr>
      <t>T</t>
    </r>
    <r>
      <rPr>
        <vertAlign val="subscript"/>
        <sz val="12"/>
        <rFont val="Cambria"/>
        <family val="1"/>
      </rPr>
      <t>2</t>
    </r>
    <phoneticPr fontId="3"/>
  </si>
  <si>
    <r>
      <rPr>
        <i/>
        <sz val="10"/>
        <rFont val="Cambria"/>
        <family val="1"/>
      </rPr>
      <t>T</t>
    </r>
    <r>
      <rPr>
        <vertAlign val="subscript"/>
        <sz val="10"/>
        <rFont val="Cambria"/>
        <family val="1"/>
      </rPr>
      <t>3</t>
    </r>
    <r>
      <rPr>
        <sz val="10"/>
        <rFont val="ＭＳ Ｐゴシック"/>
        <family val="3"/>
        <charset val="128"/>
      </rPr>
      <t xml:space="preserve"> ：仕上げすすぎタンクが80 ℃に達した時間[min]</t>
    </r>
    <phoneticPr fontId="3"/>
  </si>
  <si>
    <r>
      <t>T</t>
    </r>
    <r>
      <rPr>
        <vertAlign val="subscript"/>
        <sz val="10"/>
        <rFont val="Cambria"/>
        <family val="1"/>
      </rPr>
      <t xml:space="preserve">2 </t>
    </r>
    <r>
      <rPr>
        <sz val="10"/>
        <rFont val="Cambria"/>
        <family val="1"/>
      </rPr>
      <t xml:space="preserve"> =</t>
    </r>
    <phoneticPr fontId="3"/>
  </si>
  <si>
    <r>
      <t>θ</t>
    </r>
    <r>
      <rPr>
        <vertAlign val="subscript"/>
        <sz val="10"/>
        <rFont val="Cambria"/>
        <family val="1"/>
      </rPr>
      <t>fw</t>
    </r>
    <r>
      <rPr>
        <sz val="10"/>
        <rFont val="Cambria"/>
        <family val="1"/>
      </rPr>
      <t xml:space="preserve">  =</t>
    </r>
    <phoneticPr fontId="3"/>
  </si>
  <si>
    <t>型　式</t>
    <rPh sb="0" eb="1">
      <t>カタ</t>
    </rPh>
    <rPh sb="2" eb="3">
      <t>シキ</t>
    </rPh>
    <phoneticPr fontId="3"/>
  </si>
  <si>
    <r>
      <rPr>
        <i/>
        <sz val="10"/>
        <rFont val="Cambria"/>
        <family val="1"/>
      </rPr>
      <t>θ</t>
    </r>
    <r>
      <rPr>
        <vertAlign val="subscript"/>
        <sz val="10"/>
        <rFont val="Cambria"/>
        <family val="1"/>
      </rPr>
      <t>fr</t>
    </r>
    <r>
      <rPr>
        <sz val="10"/>
        <rFont val="ＭＳ Ｐゴシック"/>
        <family val="3"/>
        <charset val="128"/>
      </rPr>
      <t xml:space="preserve"> ：仕上げすすぎタンクの最終到達温度[℃]</t>
    </r>
    <rPh sb="5" eb="7">
      <t>シア</t>
    </rPh>
    <rPh sb="15" eb="17">
      <t>サイシュウ</t>
    </rPh>
    <rPh sb="17" eb="19">
      <t>トウタツ</t>
    </rPh>
    <phoneticPr fontId="3"/>
  </si>
  <si>
    <r>
      <rPr>
        <i/>
        <sz val="10"/>
        <rFont val="Cambria"/>
        <family val="1"/>
      </rPr>
      <t>θ</t>
    </r>
    <r>
      <rPr>
        <i/>
        <vertAlign val="subscript"/>
        <sz val="10"/>
        <rFont val="Cambria"/>
        <family val="1"/>
      </rPr>
      <t>s</t>
    </r>
    <r>
      <rPr>
        <vertAlign val="subscript"/>
        <sz val="10"/>
        <rFont val="Cambria"/>
        <family val="1"/>
      </rPr>
      <t xml:space="preserve"> </t>
    </r>
    <r>
      <rPr>
        <sz val="10"/>
        <rFont val="ＭＳ Ｐゴシック"/>
        <family val="3"/>
        <charset val="128"/>
      </rPr>
      <t>：仕上げすすぎタンクの水の初温[℃]</t>
    </r>
    <phoneticPr fontId="3"/>
  </si>
  <si>
    <r>
      <rPr>
        <i/>
        <sz val="10"/>
        <rFont val="Cambria"/>
        <family val="1"/>
      </rPr>
      <t>T</t>
    </r>
    <r>
      <rPr>
        <vertAlign val="subscript"/>
        <sz val="10"/>
        <rFont val="Cambria"/>
        <family val="1"/>
      </rPr>
      <t>s</t>
    </r>
    <r>
      <rPr>
        <sz val="10"/>
        <rFont val="ＭＳ Ｐゴシック"/>
        <family val="3"/>
        <charset val="128"/>
      </rPr>
      <t xml:space="preserve"> ：立上り性能[min]</t>
    </r>
    <phoneticPr fontId="3"/>
  </si>
  <si>
    <r>
      <t>立上り性能は上記2つの</t>
    </r>
    <r>
      <rPr>
        <i/>
        <sz val="10"/>
        <rFont val="Cambria"/>
        <family val="1"/>
      </rPr>
      <t>T</t>
    </r>
    <r>
      <rPr>
        <vertAlign val="subscript"/>
        <sz val="10"/>
        <rFont val="Cambria"/>
        <family val="1"/>
      </rPr>
      <t>s</t>
    </r>
    <r>
      <rPr>
        <sz val="10"/>
        <rFont val="ＭＳ Ｐゴシック"/>
        <family val="3"/>
        <charset val="128"/>
      </rPr>
      <t>平均値の大きい方とする。</t>
    </r>
    <rPh sb="6" eb="8">
      <t>ジョウキ</t>
    </rPh>
    <rPh sb="13" eb="16">
      <t>ヘイキンチ</t>
    </rPh>
    <rPh sb="17" eb="18">
      <t>オオ</t>
    </rPh>
    <rPh sb="20" eb="21">
      <t>ホウ</t>
    </rPh>
    <phoneticPr fontId="3"/>
  </si>
  <si>
    <r>
      <t>ガス消費量</t>
    </r>
    <r>
      <rPr>
        <i/>
        <sz val="10"/>
        <rFont val="Cambria"/>
        <family val="1"/>
      </rPr>
      <t>P</t>
    </r>
    <r>
      <rPr>
        <vertAlign val="subscript"/>
        <sz val="10"/>
        <rFont val="Cambria"/>
        <family val="1"/>
      </rPr>
      <t>sG</t>
    </r>
    <r>
      <rPr>
        <sz val="10"/>
        <rFont val="ＭＳ Ｐゴシック"/>
        <family val="3"/>
        <charset val="128"/>
      </rPr>
      <t>は、次式にて算出する。</t>
    </r>
    <rPh sb="2" eb="5">
      <t>ショウヒリョウ</t>
    </rPh>
    <rPh sb="10" eb="12">
      <t>ジシキ</t>
    </rPh>
    <rPh sb="14" eb="16">
      <t>サンシュツ</t>
    </rPh>
    <phoneticPr fontId="3"/>
  </si>
  <si>
    <r>
      <rPr>
        <sz val="10"/>
        <rFont val="ＭＳ Ｐゴシック"/>
        <family val="3"/>
        <charset val="128"/>
      </rPr>
      <t>　試験機器の初期状態は、洗浄タンクは空、および、仕上げすすぎタンクは満水とする。初期状態の試験機器を室温になじませた後、仕上げすすぎタンクの水の初温</t>
    </r>
    <r>
      <rPr>
        <i/>
        <sz val="10"/>
        <rFont val="Cambria"/>
        <family val="1"/>
      </rPr>
      <t>θ</t>
    </r>
    <r>
      <rPr>
        <vertAlign val="subscript"/>
        <sz val="10"/>
        <rFont val="Cambria"/>
        <family val="1"/>
      </rPr>
      <t xml:space="preserve">s  </t>
    </r>
    <r>
      <rPr>
        <sz val="10"/>
        <rFont val="Cambria"/>
        <family val="1"/>
      </rPr>
      <t>[</t>
    </r>
    <r>
      <rPr>
        <sz val="10"/>
        <rFont val="ＭＳ Ｐゴシック"/>
        <family val="3"/>
        <charset val="128"/>
      </rPr>
      <t>℃</t>
    </r>
    <r>
      <rPr>
        <sz val="10"/>
        <rFont val="Cambria"/>
        <family val="1"/>
      </rPr>
      <t xml:space="preserve">] </t>
    </r>
    <r>
      <rPr>
        <sz val="10"/>
        <rFont val="ＭＳ Ｐゴシック"/>
        <family val="3"/>
        <charset val="128"/>
      </rPr>
      <t>を測定する。給湯および加熱を始め、洗浄タンクが満水に達した時間</t>
    </r>
    <r>
      <rPr>
        <i/>
        <sz val="10"/>
        <rFont val="Cambria"/>
        <family val="1"/>
      </rPr>
      <t>T</t>
    </r>
    <r>
      <rPr>
        <vertAlign val="subscript"/>
        <sz val="10"/>
        <rFont val="Cambria"/>
        <family val="1"/>
      </rPr>
      <t xml:space="preserve">1  </t>
    </r>
    <r>
      <rPr>
        <sz val="10"/>
        <rFont val="Cambria"/>
        <family val="1"/>
      </rPr>
      <t>[min]</t>
    </r>
    <r>
      <rPr>
        <sz val="10"/>
        <rFont val="ＭＳ Ｐゴシック"/>
        <family val="3"/>
        <charset val="128"/>
      </rPr>
      <t>、洗浄タンクが</t>
    </r>
    <r>
      <rPr>
        <sz val="10"/>
        <rFont val="Cambria"/>
        <family val="1"/>
      </rPr>
      <t xml:space="preserve">60 </t>
    </r>
    <r>
      <rPr>
        <sz val="10"/>
        <rFont val="ＭＳ Ｐゴシック"/>
        <family val="3"/>
        <charset val="128"/>
      </rPr>
      <t>℃以上の満水に達した時間</t>
    </r>
    <r>
      <rPr>
        <i/>
        <sz val="10"/>
        <rFont val="Cambria"/>
        <family val="1"/>
      </rPr>
      <t>T</t>
    </r>
    <r>
      <rPr>
        <vertAlign val="subscript"/>
        <sz val="10"/>
        <rFont val="Cambria"/>
        <family val="1"/>
      </rPr>
      <t xml:space="preserve">2  </t>
    </r>
    <r>
      <rPr>
        <sz val="10"/>
        <rFont val="Cambria"/>
        <family val="1"/>
      </rPr>
      <t>[min]</t>
    </r>
    <r>
      <rPr>
        <sz val="10"/>
        <rFont val="ＭＳ Ｐゴシック"/>
        <family val="3"/>
        <charset val="128"/>
      </rPr>
      <t>、および、仕上げすすぎタンクの水温が</t>
    </r>
    <r>
      <rPr>
        <sz val="10"/>
        <rFont val="Cambria"/>
        <family val="1"/>
      </rPr>
      <t xml:space="preserve">80 </t>
    </r>
    <r>
      <rPr>
        <sz val="10"/>
        <rFont val="ＭＳ Ｐゴシック"/>
        <family val="3"/>
        <charset val="128"/>
      </rPr>
      <t>℃に達した時間</t>
    </r>
    <r>
      <rPr>
        <i/>
        <sz val="10"/>
        <rFont val="Cambria"/>
        <family val="1"/>
      </rPr>
      <t>T</t>
    </r>
    <r>
      <rPr>
        <vertAlign val="subscript"/>
        <sz val="10"/>
        <rFont val="Cambria"/>
        <family val="1"/>
      </rPr>
      <t xml:space="preserve">3  </t>
    </r>
    <r>
      <rPr>
        <sz val="10"/>
        <rFont val="Cambria"/>
        <family val="1"/>
      </rPr>
      <t>[min]</t>
    </r>
    <r>
      <rPr>
        <sz val="10"/>
        <rFont val="ＭＳ Ｐゴシック"/>
        <family val="3"/>
        <charset val="128"/>
      </rPr>
      <t>、ならびに、すべてが達した時間までのガス消費量</t>
    </r>
    <r>
      <rPr>
        <i/>
        <sz val="10"/>
        <rFont val="Cambria"/>
        <family val="1"/>
      </rPr>
      <t>P</t>
    </r>
    <r>
      <rPr>
        <vertAlign val="subscript"/>
        <sz val="10"/>
        <rFont val="Cambria"/>
        <family val="1"/>
      </rPr>
      <t>sG</t>
    </r>
    <r>
      <rPr>
        <sz val="10"/>
        <rFont val="Cambria"/>
        <family val="1"/>
      </rPr>
      <t xml:space="preserve"> [kWh/</t>
    </r>
    <r>
      <rPr>
        <sz val="10"/>
        <rFont val="ＭＳ Ｐゴシック"/>
        <family val="3"/>
        <charset val="128"/>
      </rPr>
      <t>回</t>
    </r>
    <r>
      <rPr>
        <sz val="10"/>
        <rFont val="Cambria"/>
        <family val="1"/>
      </rPr>
      <t xml:space="preserve">] </t>
    </r>
    <r>
      <rPr>
        <sz val="10"/>
        <rFont val="ＭＳ Ｐゴシック"/>
        <family val="3"/>
        <charset val="128"/>
      </rPr>
      <t>および消費電力量</t>
    </r>
    <r>
      <rPr>
        <i/>
        <sz val="10"/>
        <rFont val="Cambria"/>
        <family val="1"/>
      </rPr>
      <t>P</t>
    </r>
    <r>
      <rPr>
        <vertAlign val="subscript"/>
        <sz val="10"/>
        <rFont val="Cambria"/>
        <family val="1"/>
      </rPr>
      <t xml:space="preserve">sE </t>
    </r>
    <r>
      <rPr>
        <sz val="10"/>
        <rFont val="Cambria"/>
        <family val="1"/>
      </rPr>
      <t xml:space="preserve"> [kWh/</t>
    </r>
    <r>
      <rPr>
        <sz val="10"/>
        <rFont val="ＭＳ Ｐゴシック"/>
        <family val="3"/>
        <charset val="128"/>
      </rPr>
      <t>回</t>
    </r>
    <r>
      <rPr>
        <sz val="10"/>
        <rFont val="Cambria"/>
        <family val="1"/>
      </rPr>
      <t xml:space="preserve">] </t>
    </r>
    <r>
      <rPr>
        <sz val="10"/>
        <rFont val="ＭＳ Ｐゴシック"/>
        <family val="3"/>
        <charset val="128"/>
      </rPr>
      <t>を測定する。
　立上り性能</t>
    </r>
    <r>
      <rPr>
        <i/>
        <sz val="10"/>
        <rFont val="Cambria"/>
        <family val="1"/>
      </rPr>
      <t>T</t>
    </r>
    <r>
      <rPr>
        <vertAlign val="subscript"/>
        <sz val="10"/>
        <rFont val="Cambria"/>
        <family val="1"/>
      </rPr>
      <t xml:space="preserve">s </t>
    </r>
    <r>
      <rPr>
        <sz val="10"/>
        <rFont val="Cambria"/>
        <family val="1"/>
      </rPr>
      <t xml:space="preserve"> [min] </t>
    </r>
    <r>
      <rPr>
        <sz val="10"/>
        <rFont val="ＭＳ Ｐゴシック"/>
        <family val="3"/>
        <charset val="128"/>
      </rPr>
      <t>は、次式の大きい方になる。
　待機状態は、洗浄タンクが</t>
    </r>
    <r>
      <rPr>
        <sz val="10"/>
        <rFont val="Cambria"/>
        <family val="1"/>
      </rPr>
      <t xml:space="preserve">60 </t>
    </r>
    <r>
      <rPr>
        <sz val="10"/>
        <rFont val="ＭＳ Ｐゴシック"/>
        <family val="3"/>
        <charset val="128"/>
      </rPr>
      <t>℃以上の満水、および、仕上げすすぎタンクが</t>
    </r>
    <r>
      <rPr>
        <sz val="10"/>
        <rFont val="Cambria"/>
        <family val="1"/>
      </rPr>
      <t xml:space="preserve">80 </t>
    </r>
    <r>
      <rPr>
        <sz val="10"/>
        <rFont val="ＭＳ Ｐゴシック"/>
        <family val="3"/>
        <charset val="128"/>
      </rPr>
      <t>℃以上の満水とする。</t>
    </r>
    <rPh sb="96" eb="97">
      <t>ハジ</t>
    </rPh>
    <phoneticPr fontId="3"/>
  </si>
  <si>
    <r>
      <t>θ</t>
    </r>
    <r>
      <rPr>
        <vertAlign val="subscript"/>
        <sz val="10"/>
        <rFont val="Cambria"/>
        <family val="1"/>
      </rPr>
      <t>fw</t>
    </r>
    <r>
      <rPr>
        <i/>
        <sz val="10"/>
        <rFont val="Cambria"/>
        <family val="1"/>
      </rPr>
      <t>=</t>
    </r>
    <phoneticPr fontId="3"/>
  </si>
  <si>
    <r>
      <rPr>
        <i/>
        <sz val="10"/>
        <rFont val="Cambria"/>
        <family val="1"/>
      </rPr>
      <t>θ</t>
    </r>
    <r>
      <rPr>
        <vertAlign val="subscript"/>
        <sz val="10"/>
        <rFont val="Cambria"/>
        <family val="1"/>
      </rPr>
      <t>fw</t>
    </r>
    <r>
      <rPr>
        <sz val="10"/>
        <rFont val="Cambria"/>
        <family val="1"/>
      </rPr>
      <t xml:space="preserve"> </t>
    </r>
    <r>
      <rPr>
        <sz val="10"/>
        <rFont val="ＭＳ Ｐゴシック"/>
        <family val="3"/>
        <charset val="128"/>
      </rPr>
      <t>：洗浄タンクの最終到達温度[℃]</t>
    </r>
    <rPh sb="5" eb="7">
      <t>センジョウ</t>
    </rPh>
    <rPh sb="11" eb="13">
      <t>サイシュウ</t>
    </rPh>
    <rPh sb="13" eb="15">
      <t>トウタツ</t>
    </rPh>
    <phoneticPr fontId="3"/>
  </si>
  <si>
    <r>
      <rPr>
        <sz val="12"/>
        <rFont val="ＭＳ Ｐ明朝"/>
        <family val="1"/>
        <charset val="128"/>
      </rPr>
      <t>　</t>
    </r>
    <r>
      <rPr>
        <i/>
        <sz val="12"/>
        <rFont val="Cambria"/>
        <family val="1"/>
      </rPr>
      <t>T</t>
    </r>
    <r>
      <rPr>
        <vertAlign val="subscript"/>
        <sz val="12"/>
        <rFont val="Cambria"/>
        <family val="1"/>
      </rPr>
      <t>s</t>
    </r>
    <r>
      <rPr>
        <sz val="12"/>
        <rFont val="Cambria"/>
        <family val="1"/>
      </rPr>
      <t>=</t>
    </r>
    <r>
      <rPr>
        <i/>
        <sz val="12"/>
        <rFont val="Cambria"/>
        <family val="1"/>
      </rPr>
      <t>T</t>
    </r>
    <r>
      <rPr>
        <vertAlign val="subscript"/>
        <sz val="12"/>
        <rFont val="Cambria"/>
        <family val="1"/>
      </rPr>
      <t>2</t>
    </r>
    <phoneticPr fontId="3"/>
  </si>
  <si>
    <r>
      <rPr>
        <i/>
        <sz val="10"/>
        <rFont val="Cambria"/>
        <family val="1"/>
      </rPr>
      <t>θ</t>
    </r>
    <r>
      <rPr>
        <vertAlign val="subscript"/>
        <sz val="10"/>
        <rFont val="Cambria"/>
        <family val="1"/>
      </rPr>
      <t xml:space="preserve">fr </t>
    </r>
    <r>
      <rPr>
        <sz val="10"/>
        <rFont val="ＭＳ Ｐゴシック"/>
        <family val="3"/>
        <charset val="128"/>
      </rPr>
      <t>：仕上げすすぎタンクの最終到達温度[℃]</t>
    </r>
    <rPh sb="5" eb="7">
      <t>シア</t>
    </rPh>
    <rPh sb="15" eb="17">
      <t>サイシュウ</t>
    </rPh>
    <rPh sb="17" eb="19">
      <t>トウタツ</t>
    </rPh>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</si>
  <si>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</si>
  <si>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b/>
        <i/>
        <sz val="11"/>
        <rFont val="Cambria"/>
        <family val="1"/>
      </rPr>
      <t>T</t>
    </r>
    <r>
      <rPr>
        <b/>
        <vertAlign val="subscript"/>
        <sz val="11"/>
        <rFont val="Cambria"/>
        <family val="1"/>
      </rPr>
      <t>s</t>
    </r>
    <r>
      <rPr>
        <b/>
        <sz val="11"/>
        <rFont val="Cambria"/>
        <family val="1"/>
      </rPr>
      <t xml:space="preserve"> </t>
    </r>
    <r>
      <rPr>
        <b/>
        <sz val="11"/>
        <rFont val="ＭＳ Ｐゴシック"/>
        <family val="3"/>
        <charset val="128"/>
      </rPr>
      <t>：立上り性能[min]</t>
    </r>
    <phoneticPr fontId="3"/>
  </si>
  <si>
    <r>
      <t>P</t>
    </r>
    <r>
      <rPr>
        <vertAlign val="subscript"/>
        <sz val="11"/>
        <rFont val="Cambria"/>
        <family val="1"/>
      </rPr>
      <t>sG</t>
    </r>
    <r>
      <rPr>
        <i/>
        <sz val="11"/>
        <rFont val="Cambria"/>
        <family val="1"/>
      </rPr>
      <t xml:space="preserve"> =</t>
    </r>
    <phoneticPr fontId="3"/>
  </si>
  <si>
    <r>
      <t>T</t>
    </r>
    <r>
      <rPr>
        <vertAlign val="subscript"/>
        <sz val="10"/>
        <rFont val="Cambria"/>
        <family val="1"/>
      </rPr>
      <t xml:space="preserve">1 </t>
    </r>
    <r>
      <rPr>
        <sz val="10"/>
        <rFont val="Cambria"/>
        <family val="1"/>
      </rPr>
      <t xml:space="preserve"> =</t>
    </r>
    <phoneticPr fontId="3"/>
  </si>
  <si>
    <r>
      <rPr>
        <sz val="10"/>
        <rFont val="ＭＳ Ｐゴシック"/>
        <family val="3"/>
        <charset val="128"/>
      </rPr>
      <t>　試験機器の初期状態は、洗浄タンクは空、および、仕上げすすぎタンクは満水とする。初期状態の試験機器を室温になじませた後、仕上げすすぎタンクの水の初温</t>
    </r>
    <r>
      <rPr>
        <i/>
        <sz val="10"/>
        <rFont val="Cambria"/>
        <family val="1"/>
      </rPr>
      <t>θ</t>
    </r>
    <r>
      <rPr>
        <vertAlign val="subscript"/>
        <sz val="10"/>
        <rFont val="Cambria"/>
        <family val="1"/>
      </rPr>
      <t xml:space="preserve">s  </t>
    </r>
    <r>
      <rPr>
        <sz val="10"/>
        <rFont val="Cambria"/>
        <family val="1"/>
      </rPr>
      <t>[</t>
    </r>
    <r>
      <rPr>
        <sz val="10"/>
        <rFont val="ＭＳ Ｐゴシック"/>
        <family val="3"/>
        <charset val="128"/>
      </rPr>
      <t>℃</t>
    </r>
    <r>
      <rPr>
        <sz val="10"/>
        <rFont val="Cambria"/>
        <family val="1"/>
      </rPr>
      <t xml:space="preserve">] </t>
    </r>
    <r>
      <rPr>
        <sz val="10"/>
        <rFont val="ＭＳ Ｐゴシック"/>
        <family val="3"/>
        <charset val="128"/>
      </rPr>
      <t>を測定する。給水および加熱を始め、洗浄タンクが満水に達した時間</t>
    </r>
    <r>
      <rPr>
        <i/>
        <sz val="10"/>
        <rFont val="Cambria"/>
        <family val="1"/>
      </rPr>
      <t>T</t>
    </r>
    <r>
      <rPr>
        <vertAlign val="subscript"/>
        <sz val="10"/>
        <rFont val="Cambria"/>
        <family val="1"/>
      </rPr>
      <t xml:space="preserve">1  </t>
    </r>
    <r>
      <rPr>
        <sz val="10"/>
        <rFont val="Cambria"/>
        <family val="1"/>
      </rPr>
      <t>[min]</t>
    </r>
    <r>
      <rPr>
        <sz val="10"/>
        <rFont val="ＭＳ Ｐゴシック"/>
        <family val="3"/>
        <charset val="128"/>
      </rPr>
      <t>、洗浄タンクが</t>
    </r>
    <r>
      <rPr>
        <sz val="10"/>
        <rFont val="Cambria"/>
        <family val="1"/>
      </rPr>
      <t xml:space="preserve">60 </t>
    </r>
    <r>
      <rPr>
        <sz val="10"/>
        <rFont val="ＭＳ Ｐゴシック"/>
        <family val="3"/>
        <charset val="128"/>
      </rPr>
      <t>℃以上の満水に達した時間</t>
    </r>
    <r>
      <rPr>
        <i/>
        <sz val="10"/>
        <rFont val="Cambria"/>
        <family val="1"/>
      </rPr>
      <t>T</t>
    </r>
    <r>
      <rPr>
        <vertAlign val="subscript"/>
        <sz val="10"/>
        <rFont val="Cambria"/>
        <family val="1"/>
      </rPr>
      <t xml:space="preserve">2  </t>
    </r>
    <r>
      <rPr>
        <sz val="10"/>
        <rFont val="Cambria"/>
        <family val="1"/>
      </rPr>
      <t>[min]</t>
    </r>
    <r>
      <rPr>
        <sz val="10"/>
        <rFont val="ＭＳ Ｐゴシック"/>
        <family val="3"/>
        <charset val="128"/>
      </rPr>
      <t>、および、仕上げすすぎタンクの水温が</t>
    </r>
    <r>
      <rPr>
        <sz val="10"/>
        <rFont val="Cambria"/>
        <family val="1"/>
      </rPr>
      <t xml:space="preserve">80 </t>
    </r>
    <r>
      <rPr>
        <sz val="10"/>
        <rFont val="ＭＳ Ｐゴシック"/>
        <family val="3"/>
        <charset val="128"/>
      </rPr>
      <t>℃に達した時間</t>
    </r>
    <r>
      <rPr>
        <i/>
        <sz val="10"/>
        <rFont val="Cambria"/>
        <family val="1"/>
      </rPr>
      <t>T</t>
    </r>
    <r>
      <rPr>
        <vertAlign val="subscript"/>
        <sz val="10"/>
        <rFont val="Cambria"/>
        <family val="1"/>
      </rPr>
      <t xml:space="preserve">3  </t>
    </r>
    <r>
      <rPr>
        <sz val="10"/>
        <rFont val="Cambria"/>
        <family val="1"/>
      </rPr>
      <t>[min]</t>
    </r>
    <r>
      <rPr>
        <sz val="10"/>
        <rFont val="ＭＳ Ｐゴシック"/>
        <family val="3"/>
        <charset val="128"/>
      </rPr>
      <t>、ならびに、すべてが達した時間までのガス消費量</t>
    </r>
    <r>
      <rPr>
        <i/>
        <sz val="10"/>
        <rFont val="Cambria"/>
        <family val="1"/>
      </rPr>
      <t>P</t>
    </r>
    <r>
      <rPr>
        <vertAlign val="subscript"/>
        <sz val="10"/>
        <rFont val="Cambria"/>
        <family val="1"/>
      </rPr>
      <t>sG</t>
    </r>
    <r>
      <rPr>
        <sz val="10"/>
        <rFont val="Cambria"/>
        <family val="1"/>
      </rPr>
      <t xml:space="preserve"> [kWh/</t>
    </r>
    <r>
      <rPr>
        <sz val="10"/>
        <rFont val="ＭＳ Ｐゴシック"/>
        <family val="3"/>
        <charset val="128"/>
      </rPr>
      <t>回</t>
    </r>
    <r>
      <rPr>
        <sz val="10"/>
        <rFont val="Cambria"/>
        <family val="1"/>
      </rPr>
      <t xml:space="preserve">] </t>
    </r>
    <r>
      <rPr>
        <sz val="10"/>
        <rFont val="ＭＳ Ｐゴシック"/>
        <family val="3"/>
        <charset val="128"/>
      </rPr>
      <t>および消費電力量</t>
    </r>
    <r>
      <rPr>
        <i/>
        <sz val="10"/>
        <rFont val="Cambria"/>
        <family val="1"/>
      </rPr>
      <t>P</t>
    </r>
    <r>
      <rPr>
        <vertAlign val="subscript"/>
        <sz val="10"/>
        <rFont val="Cambria"/>
        <family val="1"/>
      </rPr>
      <t xml:space="preserve">sE </t>
    </r>
    <r>
      <rPr>
        <sz val="10"/>
        <rFont val="Cambria"/>
        <family val="1"/>
      </rPr>
      <t xml:space="preserve"> [kWh/</t>
    </r>
    <r>
      <rPr>
        <sz val="10"/>
        <rFont val="ＭＳ Ｐゴシック"/>
        <family val="3"/>
        <charset val="128"/>
      </rPr>
      <t>回</t>
    </r>
    <r>
      <rPr>
        <sz val="10"/>
        <rFont val="Cambria"/>
        <family val="1"/>
      </rPr>
      <t xml:space="preserve">] </t>
    </r>
    <r>
      <rPr>
        <sz val="10"/>
        <rFont val="ＭＳ Ｐゴシック"/>
        <family val="3"/>
        <charset val="128"/>
      </rPr>
      <t>を測定する。
　立上り性能</t>
    </r>
    <r>
      <rPr>
        <i/>
        <sz val="10"/>
        <rFont val="Cambria"/>
        <family val="1"/>
      </rPr>
      <t>T</t>
    </r>
    <r>
      <rPr>
        <vertAlign val="subscript"/>
        <sz val="10"/>
        <rFont val="Cambria"/>
        <family val="1"/>
      </rPr>
      <t xml:space="preserve">s </t>
    </r>
    <r>
      <rPr>
        <sz val="10"/>
        <rFont val="Cambria"/>
        <family val="1"/>
      </rPr>
      <t xml:space="preserve"> [min] </t>
    </r>
    <r>
      <rPr>
        <sz val="10"/>
        <rFont val="ＭＳ Ｐゴシック"/>
        <family val="3"/>
        <charset val="128"/>
      </rPr>
      <t>は、次式の大きい方になる。
　待機状態は、洗浄タンクが</t>
    </r>
    <r>
      <rPr>
        <sz val="10"/>
        <rFont val="Cambria"/>
        <family val="1"/>
      </rPr>
      <t xml:space="preserve">60 </t>
    </r>
    <r>
      <rPr>
        <sz val="10"/>
        <rFont val="ＭＳ Ｐゴシック"/>
        <family val="3"/>
        <charset val="128"/>
      </rPr>
      <t>℃以上の満水、および、仕上げすすぎタンクが</t>
    </r>
    <r>
      <rPr>
        <sz val="10"/>
        <rFont val="Cambria"/>
        <family val="1"/>
      </rPr>
      <t xml:space="preserve">80 </t>
    </r>
    <r>
      <rPr>
        <sz val="10"/>
        <rFont val="ＭＳ Ｐゴシック"/>
        <family val="3"/>
        <charset val="128"/>
      </rPr>
      <t>℃以上の満水とする。</t>
    </r>
    <rPh sb="88" eb="90">
      <t>キュウスイ</t>
    </rPh>
    <rPh sb="96" eb="97">
      <t>ハジ</t>
    </rPh>
    <phoneticPr fontId="3"/>
  </si>
  <si>
    <r>
      <t>θ</t>
    </r>
    <r>
      <rPr>
        <vertAlign val="subscript"/>
        <sz val="10"/>
        <rFont val="Cambria"/>
        <family val="1"/>
      </rPr>
      <t>fw</t>
    </r>
    <r>
      <rPr>
        <i/>
        <sz val="10"/>
        <rFont val="Cambria"/>
        <family val="1"/>
      </rPr>
      <t>=</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</si>
  <si>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</si>
  <si>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2"/>
        <rFont val="Cambria"/>
        <family val="1"/>
      </rPr>
      <t>P</t>
    </r>
    <r>
      <rPr>
        <vertAlign val="subscript"/>
        <sz val="12"/>
        <rFont val="Cambria"/>
        <family val="1"/>
      </rPr>
      <t>sE</t>
    </r>
    <r>
      <rPr>
        <vertAlign val="subscript"/>
        <sz val="10"/>
        <rFont val="Cambria"/>
        <family val="1"/>
      </rPr>
      <t xml:space="preserve"> </t>
    </r>
    <r>
      <rPr>
        <sz val="10"/>
        <rFont val="Cambria"/>
        <family val="1"/>
      </rPr>
      <t xml:space="preserve"> =</t>
    </r>
    <phoneticPr fontId="3"/>
  </si>
  <si>
    <r>
      <t>P</t>
    </r>
    <r>
      <rPr>
        <vertAlign val="subscript"/>
        <sz val="11"/>
        <rFont val="Cambria"/>
        <family val="1"/>
      </rPr>
      <t>sG</t>
    </r>
    <r>
      <rPr>
        <i/>
        <sz val="11"/>
        <rFont val="Cambria"/>
        <family val="1"/>
      </rPr>
      <t xml:space="preserve"> =</t>
    </r>
    <phoneticPr fontId="3"/>
  </si>
  <si>
    <r>
      <rPr>
        <sz val="10"/>
        <rFont val="Century"/>
        <family val="1"/>
      </rPr>
      <t xml:space="preserve">  </t>
    </r>
    <r>
      <rPr>
        <sz val="10"/>
        <rFont val="ＭＳ Ｐゴシック"/>
        <family val="3"/>
        <charset val="128"/>
      </rPr>
      <t>試験機器を立上り性能試験の待機状態（待機状態は、洗浄タンクが</t>
    </r>
    <r>
      <rPr>
        <sz val="10"/>
        <rFont val="Century"/>
        <family val="1"/>
      </rPr>
      <t xml:space="preserve">60 </t>
    </r>
    <r>
      <rPr>
        <sz val="10"/>
        <rFont val="ＭＳ Ｐゴシック"/>
        <family val="3"/>
        <charset val="128"/>
      </rPr>
      <t>℃以上の満水、および、仕上げすすぎタンクが</t>
    </r>
    <r>
      <rPr>
        <sz val="10"/>
        <rFont val="Century"/>
        <family val="1"/>
      </rPr>
      <t xml:space="preserve">80 </t>
    </r>
    <r>
      <rPr>
        <sz val="10"/>
        <rFont val="ＭＳ Ｐゴシック"/>
        <family val="3"/>
        <charset val="128"/>
      </rPr>
      <t>℃以上の満水とする。）にして、試験食器が16枚収納された試験食器ラックを最大処理量</t>
    </r>
    <r>
      <rPr>
        <i/>
        <sz val="10"/>
        <rFont val="Cambria"/>
        <family val="1"/>
      </rPr>
      <t>V</t>
    </r>
    <r>
      <rPr>
        <vertAlign val="subscript"/>
        <sz val="10"/>
        <rFont val="Cambria"/>
        <family val="1"/>
      </rPr>
      <t>m</t>
    </r>
    <r>
      <rPr>
        <vertAlign val="subscript"/>
        <sz val="10"/>
        <rFont val="Century"/>
        <family val="1"/>
      </rPr>
      <t xml:space="preserve"> </t>
    </r>
    <r>
      <rPr>
        <sz val="10"/>
        <rFont val="Century"/>
        <family val="1"/>
      </rPr>
      <t>[</t>
    </r>
    <r>
      <rPr>
        <sz val="10"/>
        <rFont val="ＭＳ Ｐゴシック"/>
        <family val="3"/>
        <charset val="128"/>
      </rPr>
      <t>ラック</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投入する。製造者の表示する標準洗浄サイクル</t>
    </r>
    <r>
      <rPr>
        <i/>
        <sz val="10"/>
        <rFont val="Cambria"/>
        <family val="1"/>
      </rPr>
      <t>T</t>
    </r>
    <r>
      <rPr>
        <vertAlign val="subscript"/>
        <sz val="10"/>
        <rFont val="Cambria"/>
        <family val="1"/>
      </rPr>
      <t>p</t>
    </r>
    <r>
      <rPr>
        <vertAlign val="subscript"/>
        <sz val="10"/>
        <rFont val="Century"/>
        <family val="1"/>
      </rPr>
      <t xml:space="preserve"> </t>
    </r>
    <r>
      <rPr>
        <sz val="10"/>
        <rFont val="ＭＳ Ｐゴシック"/>
        <family val="3"/>
        <charset val="128"/>
      </rPr>
      <t>[s] の後、試験食器ラックを取り出し、出し入れ作業時間</t>
    </r>
    <r>
      <rPr>
        <i/>
        <sz val="10"/>
        <rFont val="Cambria"/>
        <family val="1"/>
      </rPr>
      <t>T</t>
    </r>
    <r>
      <rPr>
        <vertAlign val="subscript"/>
        <sz val="10"/>
        <rFont val="Cambria"/>
        <family val="1"/>
      </rPr>
      <t>j</t>
    </r>
    <r>
      <rPr>
        <vertAlign val="subscript"/>
        <sz val="10"/>
        <rFont val="Century"/>
        <family val="1"/>
      </rPr>
      <t xml:space="preserve"> </t>
    </r>
    <r>
      <rPr>
        <sz val="10"/>
        <rFont val="ＭＳ Ｐゴシック"/>
        <family val="3"/>
        <charset val="128"/>
      </rPr>
      <t>[s] の後、次の試験食器ラックを投入する。これを連続して11回処理する。
　試験食器ラックは、幅500mm、奥行500mm の洗浄ラックとする。試験食器は、陶磁器製の直径230mm の洋皿とする。最大処理量</t>
    </r>
    <r>
      <rPr>
        <i/>
        <sz val="10"/>
        <rFont val="Cambria"/>
        <family val="1"/>
      </rPr>
      <t>V</t>
    </r>
    <r>
      <rPr>
        <vertAlign val="subscript"/>
        <sz val="10"/>
        <rFont val="Cambria"/>
        <family val="1"/>
      </rPr>
      <t>m</t>
    </r>
    <r>
      <rPr>
        <sz val="10"/>
        <rFont val="ＭＳ Ｐゴシック"/>
        <family val="3"/>
        <charset val="128"/>
      </rPr>
      <t xml:space="preserve"> [ラック/回] は、試験食器ラックの最大収納数 とする。試験食器ラックおよび試験食器の洗浄前の温度は、40 ℃以下になるように調節する。出し入れ作業時間</t>
    </r>
    <r>
      <rPr>
        <i/>
        <sz val="10"/>
        <rFont val="Cambria"/>
        <family val="1"/>
      </rPr>
      <t>T</t>
    </r>
    <r>
      <rPr>
        <vertAlign val="subscript"/>
        <sz val="10"/>
        <rFont val="Cambria"/>
        <family val="1"/>
      </rPr>
      <t>j</t>
    </r>
    <r>
      <rPr>
        <vertAlign val="subscript"/>
        <sz val="10"/>
        <rFont val="Century"/>
        <family val="1"/>
      </rPr>
      <t xml:space="preserve"> </t>
    </r>
    <r>
      <rPr>
        <sz val="10"/>
        <rFont val="ＭＳ Ｐゴシック"/>
        <family val="3"/>
        <charset val="128"/>
      </rPr>
      <t>[s] は、洗浄タンクが60 ℃に復帰した時間より十分に長くなることを予備試験で確認し、事前に決定する。ガス消費量</t>
    </r>
    <r>
      <rPr>
        <i/>
        <sz val="10"/>
        <rFont val="Cambria"/>
        <family val="1"/>
      </rPr>
      <t>P</t>
    </r>
    <r>
      <rPr>
        <vertAlign val="subscript"/>
        <sz val="10"/>
        <rFont val="Cambria"/>
        <family val="1"/>
      </rPr>
      <t>cG</t>
    </r>
    <r>
      <rPr>
        <sz val="10"/>
        <rFont val="ＭＳ Ｐゴシック"/>
        <family val="3"/>
        <charset val="128"/>
      </rPr>
      <t>[kWh/回]および消費電力量</t>
    </r>
    <r>
      <rPr>
        <i/>
        <sz val="10"/>
        <rFont val="Cambria"/>
        <family val="1"/>
      </rPr>
      <t>P</t>
    </r>
    <r>
      <rPr>
        <vertAlign val="subscript"/>
        <sz val="10"/>
        <rFont val="Cambria"/>
        <family val="1"/>
      </rPr>
      <t>cE</t>
    </r>
    <r>
      <rPr>
        <vertAlign val="subscript"/>
        <sz val="10"/>
        <rFont val="Century"/>
        <family val="1"/>
      </rPr>
      <t xml:space="preserve"> </t>
    </r>
    <r>
      <rPr>
        <sz val="10"/>
        <rFont val="ＭＳ Ｐゴシック"/>
        <family val="3"/>
        <charset val="128"/>
      </rPr>
      <t>[kWh/回] は、6回目の試験食器ラックの洗浄開始から、11回目の試験食器ラックの洗浄開始までの平均値とする。すすぎ開始時の仕上げすすぎタンクの温度（温度の測定間隔は、一秒以下が望ましい。）</t>
    </r>
    <r>
      <rPr>
        <i/>
        <sz val="10"/>
        <rFont val="Symbol"/>
        <family val="1"/>
        <charset val="2"/>
      </rPr>
      <t>q</t>
    </r>
    <r>
      <rPr>
        <vertAlign val="subscript"/>
        <sz val="10"/>
        <rFont val="Century"/>
        <family val="1"/>
      </rPr>
      <t>t</t>
    </r>
    <r>
      <rPr>
        <sz val="10"/>
        <rFont val="Century"/>
        <family val="1"/>
      </rPr>
      <t xml:space="preserve"> </t>
    </r>
    <r>
      <rPr>
        <sz val="10"/>
        <rFont val="ＭＳ Ｐゴシック"/>
        <family val="3"/>
        <charset val="128"/>
      </rPr>
      <t>[℃]、および、すすぎ終了後に洗浄タンクが60 ℃に復帰した時間</t>
    </r>
    <r>
      <rPr>
        <i/>
        <sz val="10"/>
        <rFont val="Cambria"/>
        <family val="1"/>
      </rPr>
      <t>T</t>
    </r>
    <r>
      <rPr>
        <vertAlign val="subscript"/>
        <sz val="10"/>
        <rFont val="Cambria"/>
        <family val="1"/>
      </rPr>
      <t xml:space="preserve">r </t>
    </r>
    <r>
      <rPr>
        <sz val="10"/>
        <rFont val="ＭＳ Ｐゴシック"/>
        <family val="3"/>
        <charset val="128"/>
      </rPr>
      <t>[s]は、6 回目の処理から10回目の処理までの平均値とする。</t>
    </r>
    <rPh sb="7" eb="9">
      <t>タチアガ</t>
    </rPh>
    <rPh sb="10" eb="12">
      <t>セイノウ</t>
    </rPh>
    <rPh sb="12" eb="14">
      <t>シケン</t>
    </rPh>
    <rPh sb="95" eb="97">
      <t>サイダイ</t>
    </rPh>
    <rPh sb="197" eb="198">
      <t>カイ</t>
    </rPh>
    <rPh sb="406" eb="409">
      <t>ショウヒリョウ</t>
    </rPh>
    <rPh sb="417" eb="418">
      <t>カイ</t>
    </rPh>
    <rPh sb="516" eb="517">
      <t>1</t>
    </rPh>
    <phoneticPr fontId="3"/>
  </si>
  <si>
    <r>
      <rPr>
        <i/>
        <sz val="10"/>
        <rFont val="Cambria"/>
        <family val="1"/>
      </rPr>
      <t>θ</t>
    </r>
    <r>
      <rPr>
        <vertAlign val="subscript"/>
        <sz val="10"/>
        <rFont val="Cambria"/>
        <family val="1"/>
      </rPr>
      <t>t</t>
    </r>
    <r>
      <rPr>
        <vertAlign val="subscript"/>
        <sz val="10"/>
        <rFont val="ＭＳ Ｐゴシック"/>
        <family val="3"/>
        <charset val="128"/>
      </rPr>
      <t>　</t>
    </r>
    <r>
      <rPr>
        <sz val="10"/>
        <rFont val="Cambria"/>
        <family val="1"/>
      </rPr>
      <t>=</t>
    </r>
    <phoneticPr fontId="3"/>
  </si>
  <si>
    <r>
      <rPr>
        <i/>
        <sz val="10"/>
        <rFont val="Cambria"/>
        <family val="1"/>
      </rPr>
      <t xml:space="preserve"> θ</t>
    </r>
    <r>
      <rPr>
        <vertAlign val="subscript"/>
        <sz val="10"/>
        <rFont val="Cambria"/>
        <family val="1"/>
      </rPr>
      <t>t</t>
    </r>
    <r>
      <rPr>
        <vertAlign val="subscript"/>
        <sz val="10"/>
        <rFont val="ＭＳ Ｐゴシック"/>
        <family val="3"/>
        <charset val="128"/>
      </rPr>
      <t>　</t>
    </r>
    <r>
      <rPr>
        <sz val="10"/>
        <rFont val="ＭＳ Ｐゴシック"/>
        <family val="3"/>
        <charset val="128"/>
      </rPr>
      <t>平均値 =</t>
    </r>
    <rPh sb="4" eb="7">
      <t>ヘイキンチ</t>
    </rPh>
    <phoneticPr fontId="3"/>
  </si>
  <si>
    <r>
      <t>（m</t>
    </r>
    <r>
      <rPr>
        <vertAlign val="superscript"/>
        <sz val="9"/>
        <rFont val="ＭＳ Ｐゴシック"/>
        <family val="3"/>
        <charset val="128"/>
      </rPr>
      <t>3</t>
    </r>
    <r>
      <rPr>
        <sz val="9"/>
        <rFont val="ＭＳ Ｐゴシック"/>
        <family val="3"/>
        <charset val="128"/>
      </rPr>
      <t>）</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</si>
  <si>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</si>
  <si>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Cambria"/>
        <family val="1"/>
      </rPr>
      <t>θ</t>
    </r>
    <r>
      <rPr>
        <vertAlign val="subscript"/>
        <sz val="10"/>
        <rFont val="Cambria"/>
        <family val="1"/>
      </rPr>
      <t xml:space="preserve">s </t>
    </r>
    <r>
      <rPr>
        <sz val="10"/>
        <rFont val="Cambria"/>
        <family val="1"/>
      </rPr>
      <t xml:space="preserve"> =</t>
    </r>
    <phoneticPr fontId="3"/>
  </si>
  <si>
    <r>
      <rPr>
        <i/>
        <sz val="10"/>
        <rFont val="Cambria"/>
        <family val="1"/>
      </rPr>
      <t>θ</t>
    </r>
    <r>
      <rPr>
        <vertAlign val="subscript"/>
        <sz val="10"/>
        <rFont val="Cambria"/>
        <family val="1"/>
      </rPr>
      <t xml:space="preserve">s </t>
    </r>
    <r>
      <rPr>
        <sz val="10"/>
        <rFont val="ＭＳ Ｐゴシック"/>
        <family val="3"/>
        <charset val="128"/>
      </rPr>
      <t>：</t>
    </r>
    <r>
      <rPr>
        <sz val="10"/>
        <rFont val="Century"/>
        <family val="1"/>
      </rPr>
      <t xml:space="preserve"> </t>
    </r>
    <r>
      <rPr>
        <sz val="10"/>
        <rFont val="ＭＳ Ｐゴシック"/>
        <family val="3"/>
        <charset val="128"/>
      </rPr>
      <t>仕上げすすぎタンクの水の初温 [℃]</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</si>
  <si>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</si>
  <si>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Cambria"/>
        <family val="1"/>
      </rPr>
      <t>θ</t>
    </r>
    <r>
      <rPr>
        <vertAlign val="subscript"/>
        <sz val="10"/>
        <rFont val="Cambria"/>
        <family val="1"/>
      </rPr>
      <t xml:space="preserve">fw </t>
    </r>
    <r>
      <rPr>
        <sz val="10"/>
        <rFont val="ＭＳ Ｐゴシック"/>
        <family val="3"/>
        <charset val="128"/>
      </rPr>
      <t>：</t>
    </r>
    <r>
      <rPr>
        <sz val="10"/>
        <rFont val="Cambria"/>
        <family val="1"/>
      </rPr>
      <t xml:space="preserve"> </t>
    </r>
    <r>
      <rPr>
        <sz val="10"/>
        <rFont val="ＭＳ Ｐゴシック"/>
        <family val="3"/>
        <charset val="128"/>
      </rPr>
      <t>洗浄タンクの水の最終到達温度 [℃]</t>
    </r>
    <rPh sb="6" eb="8">
      <t>センジョウ</t>
    </rPh>
    <rPh sb="14" eb="16">
      <t>サイシュウ</t>
    </rPh>
    <rPh sb="16" eb="18">
      <t>トウタツ</t>
    </rPh>
    <rPh sb="18" eb="19">
      <t>オン</t>
    </rPh>
    <rPh sb="19" eb="20">
      <t>ド</t>
    </rPh>
    <phoneticPr fontId="3"/>
  </si>
  <si>
    <r>
      <rPr>
        <i/>
        <sz val="10"/>
        <rFont val="Cambria"/>
        <family val="1"/>
      </rPr>
      <t>θ</t>
    </r>
    <r>
      <rPr>
        <vertAlign val="subscript"/>
        <sz val="10"/>
        <rFont val="Cambria"/>
        <family val="1"/>
      </rPr>
      <t xml:space="preserve">s </t>
    </r>
    <r>
      <rPr>
        <sz val="10"/>
        <rFont val="ＭＳ Ｐゴシック"/>
        <family val="3"/>
        <charset val="128"/>
      </rPr>
      <t>：</t>
    </r>
    <r>
      <rPr>
        <sz val="10"/>
        <rFont val="Cambria"/>
        <family val="1"/>
      </rPr>
      <t xml:space="preserve"> </t>
    </r>
    <r>
      <rPr>
        <sz val="8"/>
        <rFont val="ＭＳ Ｐゴシック"/>
        <family val="3"/>
        <charset val="128"/>
      </rPr>
      <t>洗浄水入替え直前の仕上げすすぎタンクの水の初温 (℃)</t>
    </r>
    <rPh sb="7" eb="8">
      <t>スイ</t>
    </rPh>
    <phoneticPr fontId="3"/>
  </si>
  <si>
    <r>
      <t>P</t>
    </r>
    <r>
      <rPr>
        <vertAlign val="subscript"/>
        <sz val="10"/>
        <rFont val="Cambria"/>
        <family val="1"/>
      </rPr>
      <t>srG</t>
    </r>
    <r>
      <rPr>
        <i/>
        <sz val="10"/>
        <rFont val="Cambria"/>
        <family val="1"/>
      </rPr>
      <t xml:space="preserve"> =</t>
    </r>
    <phoneticPr fontId="3"/>
  </si>
  <si>
    <r>
      <rPr>
        <i/>
        <sz val="10"/>
        <rFont val="Cambria"/>
        <family val="1"/>
      </rPr>
      <t>θ</t>
    </r>
    <r>
      <rPr>
        <vertAlign val="subscript"/>
        <sz val="10"/>
        <rFont val="Cambria"/>
        <family val="1"/>
      </rPr>
      <t>s</t>
    </r>
    <r>
      <rPr>
        <sz val="10"/>
        <rFont val="Cambria"/>
        <family val="1"/>
      </rPr>
      <t xml:space="preserve"> =</t>
    </r>
    <phoneticPr fontId="3"/>
  </si>
  <si>
    <r>
      <t>θ</t>
    </r>
    <r>
      <rPr>
        <vertAlign val="subscript"/>
        <sz val="10"/>
        <rFont val="Cambria"/>
        <family val="1"/>
      </rPr>
      <t xml:space="preserve">fr </t>
    </r>
    <r>
      <rPr>
        <sz val="10"/>
        <rFont val="Cambria"/>
        <family val="1"/>
      </rPr>
      <t xml:space="preserve"> =</t>
    </r>
    <phoneticPr fontId="3"/>
  </si>
  <si>
    <r>
      <t>θ</t>
    </r>
    <r>
      <rPr>
        <vertAlign val="subscript"/>
        <sz val="10"/>
        <rFont val="Cambria"/>
        <family val="1"/>
      </rPr>
      <t xml:space="preserve">fw </t>
    </r>
    <r>
      <rPr>
        <sz val="10"/>
        <rFont val="Cambria"/>
        <family val="1"/>
      </rPr>
      <t xml:space="preserve"> =</t>
    </r>
    <phoneticPr fontId="3"/>
  </si>
  <si>
    <r>
      <t>W</t>
    </r>
    <r>
      <rPr>
        <vertAlign val="subscript"/>
        <sz val="10"/>
        <rFont val="Cambria"/>
        <family val="1"/>
      </rPr>
      <t>s</t>
    </r>
    <r>
      <rPr>
        <sz val="10"/>
        <rFont val="Cambria"/>
        <family val="1"/>
      </rPr>
      <t xml:space="preserve"> = </t>
    </r>
    <phoneticPr fontId="3"/>
  </si>
  <si>
    <r>
      <t>W</t>
    </r>
    <r>
      <rPr>
        <vertAlign val="subscript"/>
        <sz val="10"/>
        <rFont val="Cambria"/>
        <family val="1"/>
      </rPr>
      <t>r</t>
    </r>
    <r>
      <rPr>
        <sz val="10"/>
        <rFont val="Cambria"/>
        <family val="1"/>
      </rPr>
      <t xml:space="preserve"> = </t>
    </r>
    <phoneticPr fontId="3"/>
  </si>
  <si>
    <r>
      <t xml:space="preserve">C </t>
    </r>
    <r>
      <rPr>
        <sz val="10"/>
        <rFont val="Cambria"/>
        <family val="1"/>
      </rPr>
      <t xml:space="preserve">= </t>
    </r>
    <phoneticPr fontId="3"/>
  </si>
  <si>
    <r>
      <t>θ</t>
    </r>
    <r>
      <rPr>
        <vertAlign val="subscript"/>
        <sz val="10"/>
        <rFont val="Cambria"/>
        <family val="1"/>
      </rPr>
      <t>fr</t>
    </r>
    <r>
      <rPr>
        <sz val="10"/>
        <rFont val="Cambria"/>
        <family val="1"/>
      </rPr>
      <t xml:space="preserve"> =  </t>
    </r>
    <phoneticPr fontId="3"/>
  </si>
  <si>
    <r>
      <rPr>
        <i/>
        <sz val="10"/>
        <rFont val="Cambria"/>
        <family val="1"/>
      </rPr>
      <t>P</t>
    </r>
    <r>
      <rPr>
        <vertAlign val="subscript"/>
        <sz val="10"/>
        <rFont val="Cambria"/>
        <family val="1"/>
      </rPr>
      <t xml:space="preserve">iG </t>
    </r>
    <r>
      <rPr>
        <sz val="10"/>
        <rFont val="ＭＳ Ｐゴシック"/>
        <family val="3"/>
        <charset val="128"/>
      </rPr>
      <t>：</t>
    </r>
    <r>
      <rPr>
        <sz val="10"/>
        <rFont val="Cambria"/>
        <family val="1"/>
      </rPr>
      <t xml:space="preserve"> </t>
    </r>
    <r>
      <rPr>
        <sz val="10"/>
        <rFont val="ＭＳ Ｐゴシック"/>
        <family val="3"/>
        <charset val="128"/>
      </rPr>
      <t>待機時ガス消費量[kWh]</t>
    </r>
    <rPh sb="6" eb="8">
      <t>タイキ</t>
    </rPh>
    <rPh sb="8" eb="9">
      <t>ジ</t>
    </rPh>
    <rPh sb="11" eb="14">
      <t>ショウヒリョウ</t>
    </rPh>
    <phoneticPr fontId="3"/>
  </si>
  <si>
    <r>
      <rPr>
        <i/>
        <sz val="10"/>
        <rFont val="Cambria"/>
        <family val="1"/>
      </rPr>
      <t>Q</t>
    </r>
    <r>
      <rPr>
        <vertAlign val="subscript"/>
        <sz val="10"/>
        <rFont val="Cambria"/>
        <family val="1"/>
      </rPr>
      <t>iG</t>
    </r>
    <r>
      <rPr>
        <i/>
        <vertAlign val="subscript"/>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待機時ガス消費量[kWh/h]</t>
    </r>
    <rPh sb="11" eb="13">
      <t>ショウヒ</t>
    </rPh>
    <phoneticPr fontId="3"/>
  </si>
  <si>
    <r>
      <t>P</t>
    </r>
    <r>
      <rPr>
        <vertAlign val="subscript"/>
        <sz val="11"/>
        <rFont val="Cambria"/>
        <family val="1"/>
      </rPr>
      <t>iG</t>
    </r>
    <r>
      <rPr>
        <i/>
        <sz val="11"/>
        <rFont val="Cambria"/>
        <family val="1"/>
      </rPr>
      <t xml:space="preserve"> =</t>
    </r>
    <phoneticPr fontId="3"/>
  </si>
  <si>
    <r>
      <t>Q</t>
    </r>
    <r>
      <rPr>
        <vertAlign val="subscript"/>
        <sz val="10"/>
        <rFont val="Cambria"/>
        <family val="1"/>
      </rPr>
      <t xml:space="preserve">iG </t>
    </r>
    <r>
      <rPr>
        <sz val="10"/>
        <rFont val="Cambria"/>
        <family val="1"/>
      </rPr>
      <t>=</t>
    </r>
    <phoneticPr fontId="3"/>
  </si>
  <si>
    <r>
      <rPr>
        <i/>
        <sz val="14"/>
        <rFont val="Cambria"/>
        <family val="1"/>
      </rPr>
      <t>Q</t>
    </r>
    <r>
      <rPr>
        <vertAlign val="subscript"/>
        <sz val="14"/>
        <rFont val="Cambria"/>
        <family val="1"/>
      </rPr>
      <t>iG</t>
    </r>
    <r>
      <rPr>
        <vertAlign val="subscript"/>
        <sz val="10"/>
        <rFont val="Cambria"/>
        <family val="1"/>
      </rPr>
      <t xml:space="preserve"> </t>
    </r>
    <r>
      <rPr>
        <vertAlign val="subscript"/>
        <sz val="10"/>
        <rFont val="ＭＳ Ｐゴシック"/>
        <family val="3"/>
        <charset val="128"/>
      </rPr>
      <t>　</t>
    </r>
    <r>
      <rPr>
        <sz val="10"/>
        <rFont val="ＭＳ Ｐゴシック"/>
        <family val="3"/>
        <charset val="128"/>
      </rPr>
      <t>平均値 =</t>
    </r>
    <rPh sb="5" eb="8">
      <t>ヘイキンチ</t>
    </rPh>
    <phoneticPr fontId="3"/>
  </si>
  <si>
    <r>
      <rPr>
        <i/>
        <sz val="10"/>
        <rFont val="Cambria"/>
        <family val="1"/>
      </rPr>
      <t>T</t>
    </r>
    <r>
      <rPr>
        <vertAlign val="subscript"/>
        <sz val="10"/>
        <rFont val="Cambria"/>
        <family val="1"/>
      </rPr>
      <t>iG</t>
    </r>
    <r>
      <rPr>
        <sz val="10"/>
        <rFont val="ＭＳ Ｐゴシック"/>
        <family val="3"/>
        <charset val="128"/>
      </rPr>
      <t>：ガス消費量の実測時間[min]</t>
    </r>
    <rPh sb="6" eb="9">
      <t>ショウヒリョウ</t>
    </rPh>
    <rPh sb="10" eb="12">
      <t>ジッソク</t>
    </rPh>
    <rPh sb="12" eb="14">
      <t>ジカン</t>
    </rPh>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</si>
  <si>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</si>
  <si>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Cambria"/>
        <family val="1"/>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</si>
  <si>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t>
    </r>
    <r>
      <rPr>
        <sz val="10"/>
        <rFont val="Cambria"/>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</si>
  <si>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測定時の大気圧[kPa]</t>
    </r>
    <phoneticPr fontId="3"/>
  </si>
  <si>
    <r>
      <rPr>
        <i/>
        <sz val="10"/>
        <rFont val="Cambria"/>
        <family val="1"/>
      </rPr>
      <t>Π</t>
    </r>
    <r>
      <rPr>
        <vertAlign val="subscript"/>
        <sz val="10"/>
        <rFont val="Cambria"/>
        <family val="1"/>
      </rPr>
      <t>G</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測定時のガスメータ内のガス圧力[kPa]</t>
    </r>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</si>
  <si>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温度</t>
    </r>
    <r>
      <rPr>
        <i/>
        <sz val="10"/>
        <rFont val="Cambria"/>
        <family val="1"/>
      </rPr>
      <t>θ</t>
    </r>
    <r>
      <rPr>
        <vertAlign val="subscript"/>
        <sz val="10"/>
        <rFont val="Cambria"/>
        <family val="1"/>
      </rPr>
      <t>G</t>
    </r>
    <r>
      <rPr>
        <sz val="10"/>
        <rFont val="Cambria"/>
        <family val="1"/>
      </rPr>
      <t xml:space="preserve"> </t>
    </r>
    <r>
      <rPr>
        <sz val="10"/>
        <rFont val="ＭＳ Ｐゴシック"/>
        <family val="3"/>
        <charset val="128"/>
      </rPr>
      <t>℃における飽和水蒸気圧[kPa]</t>
    </r>
    <phoneticPr fontId="3"/>
  </si>
  <si>
    <r>
      <rPr>
        <i/>
        <sz val="10"/>
        <rFont val="Cambria"/>
        <family val="1"/>
      </rPr>
      <t>T</t>
    </r>
    <r>
      <rPr>
        <vertAlign val="subscript"/>
        <sz val="10"/>
        <rFont val="Cambria"/>
        <family val="1"/>
      </rPr>
      <t>iG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</si>
  <si>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</si>
  <si>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</si>
  <si>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</si>
  <si>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</si>
  <si>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</si>
  <si>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t>（m</t>
    </r>
    <r>
      <rPr>
        <vertAlign val="superscript"/>
        <sz val="9"/>
        <rFont val="ＭＳ Ｐゴシック"/>
        <family val="3"/>
        <charset val="128"/>
      </rPr>
      <t>3</t>
    </r>
    <r>
      <rPr>
        <sz val="9"/>
        <rFont val="ＭＳ Ｐゴシック"/>
        <family val="3"/>
        <charset val="128"/>
      </rPr>
      <t>）</t>
    </r>
    <phoneticPr fontId="3"/>
  </si>
  <si>
    <r>
      <t>洗浄タンクの貯湯量を立上り時給湯（給水）量</t>
    </r>
    <r>
      <rPr>
        <i/>
        <sz val="10"/>
        <rFont val="Cambria"/>
        <family val="1"/>
      </rPr>
      <t>W</t>
    </r>
    <r>
      <rPr>
        <vertAlign val="subscript"/>
        <sz val="10"/>
        <rFont val="Cambria"/>
        <family val="1"/>
      </rPr>
      <t>s</t>
    </r>
    <r>
      <rPr>
        <vertAlign val="subscript"/>
        <sz val="10"/>
        <rFont val="Century"/>
        <family val="1"/>
      </rPr>
      <t xml:space="preserve"> </t>
    </r>
    <r>
      <rPr>
        <sz val="10"/>
        <rFont val="Century"/>
        <family val="1"/>
      </rPr>
      <t>[</t>
    </r>
    <r>
      <rPr>
        <sz val="10"/>
        <rFont val="ＭＳ Ｐゴシック"/>
        <family val="3"/>
        <charset val="128"/>
      </rPr>
      <t>ℓ/回]　とする。</t>
    </r>
    <rPh sb="0" eb="2">
      <t>センジョウ</t>
    </rPh>
    <rPh sb="6" eb="7">
      <t>チョ</t>
    </rPh>
    <rPh sb="7" eb="8">
      <t>ユ</t>
    </rPh>
    <rPh sb="8" eb="9">
      <t>リョウ</t>
    </rPh>
    <rPh sb="10" eb="12">
      <t>タチアガ</t>
    </rPh>
    <rPh sb="13" eb="14">
      <t>ジ</t>
    </rPh>
    <rPh sb="17" eb="19">
      <t>キュウスイ</t>
    </rPh>
    <phoneticPr fontId="3"/>
  </si>
  <si>
    <r>
      <t>製造者の表示する標準給湯量を処理時給湯（給水）量</t>
    </r>
    <r>
      <rPr>
        <i/>
        <sz val="10"/>
        <rFont val="Cambria"/>
        <family val="1"/>
      </rPr>
      <t>W</t>
    </r>
    <r>
      <rPr>
        <vertAlign val="subscript"/>
        <sz val="10"/>
        <rFont val="Cambria"/>
        <family val="1"/>
      </rPr>
      <t>c</t>
    </r>
    <r>
      <rPr>
        <vertAlign val="subscript"/>
        <sz val="10"/>
        <rFont val="ＭＳ Ｐゴシック"/>
        <family val="3"/>
        <charset val="128"/>
      </rPr>
      <t>　</t>
    </r>
    <r>
      <rPr>
        <sz val="10"/>
        <rFont val="Century"/>
        <family val="1"/>
      </rPr>
      <t>[</t>
    </r>
    <r>
      <rPr>
        <sz val="10"/>
        <rFont val="ＭＳ Ｐゴシック"/>
        <family val="3"/>
        <charset val="128"/>
      </rPr>
      <t>ℓ/ﾗｯｸ]とする。</t>
    </r>
    <rPh sb="0" eb="3">
      <t>セイゾウシャ</t>
    </rPh>
    <rPh sb="4" eb="6">
      <t>ヒョウジ</t>
    </rPh>
    <rPh sb="8" eb="10">
      <t>ヒョウジュン</t>
    </rPh>
    <rPh sb="10" eb="12">
      <t>キュウトウ</t>
    </rPh>
    <rPh sb="12" eb="13">
      <t>リョウ</t>
    </rPh>
    <rPh sb="14" eb="16">
      <t>ショリ</t>
    </rPh>
    <rPh sb="16" eb="17">
      <t>ジ</t>
    </rPh>
    <rPh sb="17" eb="19">
      <t>キュウトウ</t>
    </rPh>
    <rPh sb="20" eb="22">
      <t>キュウスイ</t>
    </rPh>
    <rPh sb="23" eb="24">
      <t>リョウ</t>
    </rPh>
    <phoneticPr fontId="3"/>
  </si>
  <si>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 xml:space="preserve">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</si>
  <si>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Cambria"/>
        <family val="1"/>
      </rPr>
      <t>θ</t>
    </r>
    <r>
      <rPr>
        <vertAlign val="subscript"/>
        <sz val="10"/>
        <rFont val="Cambria"/>
        <family val="1"/>
      </rPr>
      <t>fr</t>
    </r>
    <r>
      <rPr>
        <sz val="10"/>
        <rFont val="Cambria"/>
        <family val="1"/>
      </rPr>
      <t xml:space="preserve"> </t>
    </r>
    <r>
      <rPr>
        <sz val="10"/>
        <rFont val="ＭＳ Ｐゴシック"/>
        <family val="3"/>
        <charset val="128"/>
      </rPr>
      <t>：仕上げすすぎタンクの最終到達温度[℃]</t>
    </r>
    <rPh sb="5" eb="7">
      <t>シア</t>
    </rPh>
    <rPh sb="15" eb="17">
      <t>サイシュウ</t>
    </rPh>
    <rPh sb="17" eb="19">
      <t>トウタツ</t>
    </rPh>
    <phoneticPr fontId="3"/>
  </si>
  <si>
    <r>
      <rPr>
        <i/>
        <sz val="10"/>
        <rFont val="Cambria"/>
        <family val="1"/>
      </rPr>
      <t>T</t>
    </r>
    <r>
      <rPr>
        <vertAlign val="subscript"/>
        <sz val="10"/>
        <rFont val="Cambria"/>
        <family val="1"/>
      </rPr>
      <t xml:space="preserve">c </t>
    </r>
    <r>
      <rPr>
        <sz val="10"/>
        <rFont val="ＭＳ Ｐゴシック"/>
        <family val="3"/>
        <charset val="128"/>
      </rPr>
      <t>：処理に要した時間[s/回]</t>
    </r>
    <phoneticPr fontId="3"/>
  </si>
  <si>
    <r>
      <t>洗浄水入替え時のガス消費量ガス消費量</t>
    </r>
    <r>
      <rPr>
        <i/>
        <sz val="10"/>
        <rFont val="Cambria"/>
        <family val="1"/>
      </rPr>
      <t>P</t>
    </r>
    <r>
      <rPr>
        <vertAlign val="subscript"/>
        <sz val="10"/>
        <rFont val="Cambria"/>
        <family val="1"/>
      </rPr>
      <t>srG</t>
    </r>
    <r>
      <rPr>
        <sz val="10"/>
        <rFont val="ＭＳ Ｐゴシック"/>
        <family val="3"/>
        <charset val="128"/>
      </rPr>
      <t>は、次式にて算出する。</t>
    </r>
    <rPh sb="15" eb="18">
      <t>ショウヒリョウ</t>
    </rPh>
    <rPh sb="24" eb="26">
      <t>ジシキ</t>
    </rPh>
    <rPh sb="28" eb="30">
      <t>サンシュツ</t>
    </rPh>
    <phoneticPr fontId="3"/>
  </si>
  <si>
    <r>
      <t>待機時のガス消費量</t>
    </r>
    <r>
      <rPr>
        <i/>
        <sz val="10"/>
        <rFont val="Cambria"/>
        <family val="1"/>
      </rPr>
      <t>P</t>
    </r>
    <r>
      <rPr>
        <vertAlign val="subscript"/>
        <sz val="10"/>
        <rFont val="Cambria"/>
        <family val="1"/>
      </rPr>
      <t>iG</t>
    </r>
    <r>
      <rPr>
        <sz val="10"/>
        <rFont val="ＭＳ Ｐゴシック"/>
        <family val="3"/>
        <charset val="128"/>
      </rPr>
      <t>は、次式にて算出する。</t>
    </r>
    <rPh sb="6" eb="9">
      <t>ショウヒリョウ</t>
    </rPh>
    <rPh sb="14" eb="16">
      <t>ジシキ</t>
    </rPh>
    <rPh sb="18" eb="20">
      <t>サンシュツ</t>
    </rPh>
    <phoneticPr fontId="3"/>
  </si>
  <si>
    <r>
      <rPr>
        <i/>
        <sz val="10"/>
        <rFont val="Cambria"/>
        <family val="1"/>
      </rPr>
      <t>T</t>
    </r>
    <r>
      <rPr>
        <vertAlign val="subscript"/>
        <sz val="10"/>
        <rFont val="Cambria"/>
        <family val="1"/>
      </rPr>
      <t>s</t>
    </r>
    <r>
      <rPr>
        <sz val="10"/>
        <rFont val="Cambria"/>
        <family val="1"/>
      </rPr>
      <t xml:space="preserve"> </t>
    </r>
    <r>
      <rPr>
        <sz val="10"/>
        <rFont val="ＭＳ Ｐゴシック"/>
        <family val="3"/>
        <charset val="128"/>
      </rPr>
      <t>平均値  =</t>
    </r>
    <rPh sb="3" eb="6">
      <t>ヘイキンチ</t>
    </rPh>
    <phoneticPr fontId="3"/>
  </si>
  <si>
    <r>
      <t>T</t>
    </r>
    <r>
      <rPr>
        <vertAlign val="subscript"/>
        <sz val="14"/>
        <rFont val="Cambria"/>
        <family val="1"/>
      </rPr>
      <t>s</t>
    </r>
    <r>
      <rPr>
        <vertAlign val="subscript"/>
        <sz val="10"/>
        <rFont val="Cambria"/>
        <family val="1"/>
      </rPr>
      <t xml:space="preserve"> </t>
    </r>
    <r>
      <rPr>
        <sz val="10"/>
        <rFont val="Cambria"/>
        <family val="1"/>
      </rPr>
      <t xml:space="preserve"> =</t>
    </r>
    <phoneticPr fontId="3"/>
  </si>
  <si>
    <r>
      <rPr>
        <b/>
        <i/>
        <sz val="12"/>
        <rFont val="Cambria"/>
        <family val="1"/>
      </rPr>
      <t>T</t>
    </r>
    <r>
      <rPr>
        <b/>
        <vertAlign val="subscript"/>
        <sz val="12"/>
        <rFont val="Cambria"/>
        <family val="1"/>
      </rPr>
      <t>s</t>
    </r>
    <r>
      <rPr>
        <b/>
        <sz val="12"/>
        <rFont val="Cambria"/>
        <family val="1"/>
      </rPr>
      <t xml:space="preserve"> </t>
    </r>
    <r>
      <rPr>
        <b/>
        <sz val="12"/>
        <rFont val="ＭＳ Ｐゴシック"/>
        <family val="3"/>
        <charset val="128"/>
      </rPr>
      <t>：立上り性能[min]</t>
    </r>
    <phoneticPr fontId="3"/>
  </si>
  <si>
    <r>
      <t>T</t>
    </r>
    <r>
      <rPr>
        <vertAlign val="subscript"/>
        <sz val="14"/>
        <rFont val="Cambria"/>
        <family val="1"/>
      </rPr>
      <t>s</t>
    </r>
    <r>
      <rPr>
        <vertAlign val="subscript"/>
        <sz val="10"/>
        <rFont val="Cambria"/>
        <family val="1"/>
      </rPr>
      <t xml:space="preserve"> </t>
    </r>
    <r>
      <rPr>
        <sz val="10"/>
        <rFont val="Cambria"/>
        <family val="1"/>
      </rPr>
      <t xml:space="preserve"> =</t>
    </r>
    <phoneticPr fontId="3"/>
  </si>
  <si>
    <r>
      <rPr>
        <i/>
        <sz val="10"/>
        <rFont val="Cambria"/>
        <family val="1"/>
      </rPr>
      <t>n</t>
    </r>
    <r>
      <rPr>
        <vertAlign val="subscript"/>
        <sz val="10"/>
        <rFont val="Cambria"/>
        <family val="1"/>
      </rPr>
      <t xml:space="preserve">s </t>
    </r>
    <r>
      <rPr>
        <sz val="10"/>
        <rFont val="ＭＳ Ｐゴシック"/>
        <family val="3"/>
        <charset val="128"/>
      </rPr>
      <t>： 立上り回数[回/日]　標準値は1回/日</t>
    </r>
    <rPh sb="16" eb="19">
      <t>ヒョウジュンチ</t>
    </rPh>
    <rPh sb="21" eb="22">
      <t>カイ</t>
    </rPh>
    <rPh sb="23" eb="24">
      <t>ニチ</t>
    </rPh>
    <phoneticPr fontId="3"/>
  </si>
  <si>
    <r>
      <rPr>
        <i/>
        <sz val="10"/>
        <rFont val="Cambria"/>
        <family val="1"/>
      </rPr>
      <t>n</t>
    </r>
    <r>
      <rPr>
        <vertAlign val="subscript"/>
        <sz val="10"/>
        <rFont val="Cambria"/>
        <family val="1"/>
      </rPr>
      <t xml:space="preserve">sr </t>
    </r>
    <r>
      <rPr>
        <sz val="10"/>
        <rFont val="ＭＳ Ｐゴシック"/>
        <family val="3"/>
        <charset val="128"/>
      </rPr>
      <t>：</t>
    </r>
    <r>
      <rPr>
        <sz val="10"/>
        <rFont val="Cambria"/>
        <family val="1"/>
      </rPr>
      <t xml:space="preserve"> </t>
    </r>
    <r>
      <rPr>
        <sz val="10"/>
        <rFont val="ＭＳ Ｐゴシック"/>
        <family val="3"/>
        <charset val="128"/>
      </rPr>
      <t>洗浄水入替え回数[回/日]  標準値は1回/日</t>
    </r>
    <rPh sb="8" eb="9">
      <t>スイ</t>
    </rPh>
    <phoneticPr fontId="3"/>
  </si>
  <si>
    <r>
      <rPr>
        <i/>
        <sz val="10"/>
        <rFont val="Cambria"/>
        <family val="1"/>
      </rPr>
      <t>n</t>
    </r>
    <r>
      <rPr>
        <vertAlign val="subscript"/>
        <sz val="10"/>
        <rFont val="Cambria"/>
        <family val="1"/>
      </rPr>
      <t xml:space="preserve">sr </t>
    </r>
    <r>
      <rPr>
        <sz val="10"/>
        <rFont val="ＭＳ Ｐゴシック"/>
        <family val="3"/>
        <charset val="128"/>
      </rPr>
      <t>： 洗浄水入替え回数[回/日]  標準値は1回/日</t>
    </r>
    <rPh sb="8" eb="9">
      <t>スイ</t>
    </rPh>
    <phoneticPr fontId="3"/>
  </si>
  <si>
    <t>（選択してください）</t>
    <rPh sb="1" eb="3">
      <t>センタク</t>
    </rPh>
    <phoneticPr fontId="3"/>
  </si>
  <si>
    <r>
      <t>T</t>
    </r>
    <r>
      <rPr>
        <vertAlign val="subscript"/>
        <sz val="10"/>
        <rFont val="Cambria"/>
        <family val="1"/>
      </rPr>
      <t xml:space="preserve">s </t>
    </r>
    <r>
      <rPr>
        <sz val="10"/>
        <rFont val="Cambria"/>
        <family val="1"/>
      </rPr>
      <t xml:space="preserve"> =</t>
    </r>
    <phoneticPr fontId="3"/>
  </si>
  <si>
    <r>
      <rPr>
        <i/>
        <sz val="10"/>
        <rFont val="Symbol"/>
        <family val="1"/>
        <charset val="2"/>
      </rPr>
      <t>q</t>
    </r>
    <r>
      <rPr>
        <vertAlign val="subscript"/>
        <sz val="10"/>
        <rFont val="Century"/>
        <family val="1"/>
      </rPr>
      <t>hH</t>
    </r>
    <r>
      <rPr>
        <sz val="10"/>
        <rFont val="ＭＳ Ｐゴシック"/>
        <family val="3"/>
        <charset val="128"/>
      </rPr>
      <t xml:space="preserve"> ：給湯温度[℃]</t>
    </r>
    <phoneticPr fontId="3"/>
  </si>
  <si>
    <r>
      <rPr>
        <i/>
        <sz val="10"/>
        <rFont val="Cambria"/>
        <family val="1"/>
      </rPr>
      <t>P</t>
    </r>
    <r>
      <rPr>
        <vertAlign val="subscript"/>
        <sz val="10"/>
        <rFont val="Cambria"/>
        <family val="1"/>
      </rPr>
      <t>sE</t>
    </r>
    <r>
      <rPr>
        <sz val="10"/>
        <rFont val="Cambria"/>
        <family val="1"/>
      </rPr>
      <t xml:space="preserve"> </t>
    </r>
    <r>
      <rPr>
        <sz val="10"/>
        <rFont val="ＭＳ Ｐゴシック"/>
        <family val="3"/>
        <charset val="128"/>
      </rPr>
      <t>：待機状態に達した時間までの消費電力量[kWh/回]</t>
    </r>
    <rPh sb="5" eb="7">
      <t>タイキ</t>
    </rPh>
    <rPh sb="7" eb="9">
      <t>ジョウタイ</t>
    </rPh>
    <phoneticPr fontId="3"/>
  </si>
  <si>
    <r>
      <rPr>
        <i/>
        <sz val="10"/>
        <rFont val="Cambria"/>
        <family val="1"/>
      </rPr>
      <t>θ</t>
    </r>
    <r>
      <rPr>
        <vertAlign val="subscript"/>
        <sz val="10"/>
        <rFont val="Cambria"/>
        <family val="1"/>
      </rPr>
      <t>hH</t>
    </r>
    <r>
      <rPr>
        <sz val="10"/>
        <rFont val="Cambria"/>
        <family val="1"/>
      </rPr>
      <t xml:space="preserve"> </t>
    </r>
    <r>
      <rPr>
        <sz val="10"/>
        <rFont val="ＭＳ Ｐゴシック"/>
        <family val="3"/>
        <charset val="128"/>
      </rPr>
      <t>：給湯温度[℃]</t>
    </r>
    <phoneticPr fontId="3"/>
  </si>
  <si>
    <r>
      <rPr>
        <i/>
        <sz val="10"/>
        <rFont val="Cambria"/>
        <family val="1"/>
      </rPr>
      <t>θ</t>
    </r>
    <r>
      <rPr>
        <vertAlign val="subscript"/>
        <sz val="10"/>
        <rFont val="Cambria"/>
        <family val="1"/>
      </rPr>
      <t>hC</t>
    </r>
    <r>
      <rPr>
        <sz val="10"/>
        <rFont val="Cambria"/>
        <family val="1"/>
      </rPr>
      <t xml:space="preserve"> </t>
    </r>
    <r>
      <rPr>
        <sz val="10"/>
        <rFont val="ＭＳ Ｐゴシック"/>
        <family val="3"/>
        <charset val="128"/>
      </rPr>
      <t>：給水温度[℃]</t>
    </r>
    <rPh sb="6" eb="7">
      <t>スイ</t>
    </rPh>
    <phoneticPr fontId="3"/>
  </si>
  <si>
    <t>削除ＮＧ</t>
    <rPh sb="0" eb="2">
      <t>サクジョ</t>
    </rPh>
    <phoneticPr fontId="3"/>
  </si>
  <si>
    <t>ガス消費量の許容差</t>
    <rPh sb="2" eb="4">
      <t>ショウヒ</t>
    </rPh>
    <rPh sb="4" eb="5">
      <t>リョウ</t>
    </rPh>
    <rPh sb="6" eb="8">
      <t>キョヨウ</t>
    </rPh>
    <rPh sb="8" eb="9">
      <t>サ</t>
    </rPh>
    <phoneticPr fontId="3"/>
  </si>
  <si>
    <t>④日あたり</t>
    <rPh sb="1" eb="2">
      <t>ヒ</t>
    </rPh>
    <phoneticPr fontId="3"/>
  </si>
  <si>
    <t>1.定格エネルギー消費量</t>
  </si>
  <si>
    <t>5.エネルギー消費量</t>
    <phoneticPr fontId="3"/>
  </si>
  <si>
    <r>
      <rPr>
        <i/>
        <sz val="10"/>
        <rFont val="Cambria"/>
        <family val="1"/>
      </rPr>
      <t>θ</t>
    </r>
    <r>
      <rPr>
        <vertAlign val="subscript"/>
        <sz val="10"/>
        <rFont val="Cambria"/>
        <family val="1"/>
      </rPr>
      <t xml:space="preserve">fr </t>
    </r>
    <r>
      <rPr>
        <sz val="10"/>
        <rFont val="ＭＳ Ｐゴシック"/>
        <family val="3"/>
        <charset val="128"/>
      </rPr>
      <t>：</t>
    </r>
    <r>
      <rPr>
        <sz val="10"/>
        <rFont val="Cambria"/>
        <family val="1"/>
      </rPr>
      <t xml:space="preserve"> </t>
    </r>
    <r>
      <rPr>
        <sz val="10"/>
        <rFont val="ＭＳ Ｐゴシック"/>
        <family val="3"/>
        <charset val="128"/>
      </rPr>
      <t>すすぎタンクの最終到達温度温度=</t>
    </r>
    <r>
      <rPr>
        <i/>
        <sz val="10"/>
        <rFont val="Cambria"/>
        <family val="1"/>
      </rPr>
      <t>θ</t>
    </r>
    <r>
      <rPr>
        <vertAlign val="subscript"/>
        <sz val="10"/>
        <rFont val="ＭＳ Ｐゴシック"/>
        <family val="3"/>
        <charset val="128"/>
      </rPr>
      <t xml:space="preserve">ｔ </t>
    </r>
    <r>
      <rPr>
        <sz val="10"/>
        <rFont val="Century"/>
        <family val="1"/>
      </rPr>
      <t>[</t>
    </r>
    <r>
      <rPr>
        <sz val="10"/>
        <rFont val="ＭＳ Ｐゴシック"/>
        <family val="3"/>
        <charset val="128"/>
      </rPr>
      <t>℃</t>
    </r>
    <r>
      <rPr>
        <sz val="10"/>
        <rFont val="Century"/>
        <family val="1"/>
      </rPr>
      <t>]</t>
    </r>
    <rPh sb="13" eb="15">
      <t>サイシュウ</t>
    </rPh>
    <rPh sb="15" eb="17">
      <t>トウタツ</t>
    </rPh>
    <rPh sb="17" eb="18">
      <t>オン</t>
    </rPh>
    <rPh sb="18" eb="19">
      <t>ド</t>
    </rPh>
    <rPh sb="19" eb="21">
      <t>オンド</t>
    </rPh>
    <phoneticPr fontId="3"/>
  </si>
  <si>
    <r>
      <rPr>
        <i/>
        <sz val="10"/>
        <rFont val="Cambria"/>
        <family val="1"/>
      </rPr>
      <t>θ</t>
    </r>
    <r>
      <rPr>
        <vertAlign val="subscript"/>
        <sz val="10"/>
        <rFont val="Cambria"/>
        <family val="1"/>
      </rPr>
      <t xml:space="preserve">fr </t>
    </r>
    <r>
      <rPr>
        <sz val="10"/>
        <rFont val="ＭＳ Ｐゴシック"/>
        <family val="3"/>
        <charset val="128"/>
      </rPr>
      <t>：</t>
    </r>
    <r>
      <rPr>
        <sz val="10"/>
        <rFont val="Cambria"/>
        <family val="1"/>
      </rPr>
      <t xml:space="preserve"> </t>
    </r>
    <r>
      <rPr>
        <sz val="10"/>
        <rFont val="ＭＳ Ｐゴシック"/>
        <family val="3"/>
        <charset val="128"/>
      </rPr>
      <t>仕上げすすぎタンクの水の最終到達温度 [℃]</t>
    </r>
    <rPh sb="18" eb="20">
      <t>サイシュウ</t>
    </rPh>
    <rPh sb="20" eb="22">
      <t>トウタツ</t>
    </rPh>
    <rPh sb="22" eb="23">
      <t>オン</t>
    </rPh>
    <rPh sb="23" eb="24">
      <t>ド</t>
    </rPh>
    <phoneticPr fontId="3"/>
  </si>
  <si>
    <t>ただし、電気を仕上げすすぎタンクの加熱用熱源として
使用しない場合の処理時消費電力は、</t>
    <phoneticPr fontId="3"/>
  </si>
  <si>
    <t xml:space="preserve">6.給水量
　または
　給湯量
</t>
    <rPh sb="2" eb="4">
      <t>キュウスイ</t>
    </rPh>
    <rPh sb="4" eb="5">
      <t>リョウ</t>
    </rPh>
    <phoneticPr fontId="3"/>
  </si>
  <si>
    <t>④日あたり消費給水量または給湯量</t>
    <rPh sb="1" eb="2">
      <t>ヒ</t>
    </rPh>
    <rPh sb="5" eb="7">
      <t>ショウヒ</t>
    </rPh>
    <rPh sb="7" eb="9">
      <t>キュウスイ</t>
    </rPh>
    <rPh sb="9" eb="10">
      <t>リョウ</t>
    </rPh>
    <rPh sb="13" eb="15">
      <t>キュウトウ</t>
    </rPh>
    <rPh sb="15" eb="16">
      <t>リョウ</t>
    </rPh>
    <phoneticPr fontId="3"/>
  </si>
  <si>
    <r>
      <rPr>
        <i/>
        <sz val="10"/>
        <rFont val="Cambria"/>
        <family val="1"/>
      </rPr>
      <t>θ</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洗浄水入替え直前の仕上げすすぎﾀﾝｸの水の初温</t>
    </r>
    <r>
      <rPr>
        <sz val="10"/>
        <rFont val="Cambria"/>
        <family val="1"/>
      </rPr>
      <t>[</t>
    </r>
    <r>
      <rPr>
        <sz val="10"/>
        <rFont val="ＭＳ Ｐゴシック"/>
        <family val="3"/>
        <charset val="128"/>
      </rPr>
      <t>℃</t>
    </r>
    <r>
      <rPr>
        <sz val="10"/>
        <rFont val="Cambria"/>
        <family val="1"/>
      </rPr>
      <t>]</t>
    </r>
    <rPh sb="7" eb="8">
      <t>スイ</t>
    </rPh>
    <phoneticPr fontId="3"/>
  </si>
  <si>
    <r>
      <rPr>
        <i/>
        <sz val="10"/>
        <rFont val="Cambria"/>
        <family val="1"/>
      </rPr>
      <t>θ</t>
    </r>
    <r>
      <rPr>
        <vertAlign val="subscript"/>
        <sz val="10"/>
        <rFont val="Cambria"/>
        <family val="1"/>
      </rPr>
      <t xml:space="preserve">hH </t>
    </r>
    <r>
      <rPr>
        <sz val="10"/>
        <rFont val="Cambria"/>
        <family val="1"/>
      </rPr>
      <t>=</t>
    </r>
    <phoneticPr fontId="3"/>
  </si>
  <si>
    <r>
      <t>θ</t>
    </r>
    <r>
      <rPr>
        <vertAlign val="subscript"/>
        <sz val="10"/>
        <rFont val="Cambria"/>
        <family val="1"/>
      </rPr>
      <t xml:space="preserve">fr </t>
    </r>
    <r>
      <rPr>
        <sz val="10"/>
        <rFont val="Cambria"/>
        <family val="1"/>
      </rPr>
      <t>=</t>
    </r>
    <phoneticPr fontId="3"/>
  </si>
  <si>
    <r>
      <rPr>
        <i/>
        <sz val="10"/>
        <rFont val="Cambria"/>
        <family val="1"/>
      </rPr>
      <t>θ</t>
    </r>
    <r>
      <rPr>
        <vertAlign val="subscript"/>
        <sz val="10"/>
        <rFont val="Cambria"/>
        <family val="1"/>
      </rPr>
      <t xml:space="preserve">s </t>
    </r>
    <r>
      <rPr>
        <sz val="10"/>
        <rFont val="ＭＳ Ｐゴシック"/>
        <family val="3"/>
        <charset val="128"/>
      </rPr>
      <t>：</t>
    </r>
    <r>
      <rPr>
        <sz val="10"/>
        <rFont val="Cambria"/>
        <family val="1"/>
      </rPr>
      <t xml:space="preserve"> </t>
    </r>
    <r>
      <rPr>
        <sz val="10"/>
        <rFont val="ＭＳ Ｐゴシック"/>
        <family val="3"/>
        <charset val="128"/>
      </rPr>
      <t>仕上げすすぎタンクの水の初温 [℃]</t>
    </r>
    <phoneticPr fontId="3"/>
  </si>
  <si>
    <r>
      <t>θ</t>
    </r>
    <r>
      <rPr>
        <vertAlign val="subscript"/>
        <sz val="10"/>
        <rFont val="Cambria"/>
        <family val="1"/>
      </rPr>
      <t xml:space="preserve">fr </t>
    </r>
    <r>
      <rPr>
        <sz val="10"/>
        <rFont val="Cambria"/>
        <family val="1"/>
      </rPr>
      <t xml:space="preserve"> =</t>
    </r>
    <phoneticPr fontId="3"/>
  </si>
  <si>
    <r>
      <t>θ</t>
    </r>
    <r>
      <rPr>
        <vertAlign val="subscript"/>
        <sz val="10"/>
        <rFont val="Cambria"/>
        <family val="1"/>
      </rPr>
      <t xml:space="preserve">fw </t>
    </r>
    <r>
      <rPr>
        <sz val="10"/>
        <rFont val="Cambria"/>
        <family val="1"/>
      </rPr>
      <t xml:space="preserve"> =</t>
    </r>
    <phoneticPr fontId="3"/>
  </si>
  <si>
    <r>
      <t>W</t>
    </r>
    <r>
      <rPr>
        <vertAlign val="subscript"/>
        <sz val="10"/>
        <rFont val="Cambria"/>
        <family val="1"/>
      </rPr>
      <t>s</t>
    </r>
    <r>
      <rPr>
        <sz val="10"/>
        <rFont val="Cambria"/>
        <family val="1"/>
      </rPr>
      <t xml:space="preserve"> = </t>
    </r>
    <phoneticPr fontId="3"/>
  </si>
  <si>
    <t>[流量計の選択]</t>
    <rPh sb="1" eb="4">
      <t>リュウリョウケイ</t>
    </rPh>
    <rPh sb="5" eb="7">
      <t>センタク</t>
    </rPh>
    <phoneticPr fontId="3"/>
  </si>
  <si>
    <r>
      <t>乾式ガス流量計を用いて測定する場合は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</si>
  <si>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湿式ガス流量計を用いて測定する場合は、</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を以下の式から算出する。</t>
    </r>
    <phoneticPr fontId="3"/>
  </si>
  <si>
    <r>
      <t>　試験機器の最大ガス消費量と定格エネルギー消費量（ガス）の差</t>
    </r>
    <r>
      <rPr>
        <i/>
        <sz val="10"/>
        <rFont val="Cambria"/>
        <family val="1"/>
      </rPr>
      <t>ε</t>
    </r>
    <r>
      <rPr>
        <vertAlign val="subscript"/>
        <sz val="10"/>
        <rFont val="Cambria"/>
        <family val="1"/>
      </rPr>
      <t>pG</t>
    </r>
    <r>
      <rPr>
        <sz val="10"/>
        <rFont val="ＭＳ Ｐゴシック"/>
        <family val="3"/>
        <charset val="128"/>
      </rPr>
      <t>[%] がガス消費量の許容差に適合するように、定格エネルギー消費量（ガス）</t>
    </r>
    <r>
      <rPr>
        <i/>
        <sz val="10"/>
        <rFont val="Cambria"/>
        <family val="1"/>
      </rPr>
      <t>p</t>
    </r>
    <r>
      <rPr>
        <vertAlign val="subscript"/>
        <sz val="10"/>
        <rFont val="Cambria"/>
        <family val="1"/>
      </rPr>
      <t>rG</t>
    </r>
    <r>
      <rPr>
        <sz val="10"/>
        <rFont val="ＭＳ Ｐゴシック"/>
        <family val="3"/>
        <charset val="128"/>
      </rPr>
      <t>[kW] を定める。
　なお、ガスおよび電気など複数のエネルギー源を消費する試験機器の場合には、それぞれ個別に定格エネルギー消費量を定める。</t>
    </r>
    <rPh sb="10" eb="13">
      <t>ショウヒリョウ</t>
    </rPh>
    <rPh sb="23" eb="24">
      <t>リョウ</t>
    </rPh>
    <rPh sb="42" eb="43">
      <t>リョウ</t>
    </rPh>
    <rPh sb="63" eb="65">
      <t>ショウヒ</t>
    </rPh>
    <rPh sb="65" eb="66">
      <t>リョウ</t>
    </rPh>
    <phoneticPr fontId="3"/>
  </si>
  <si>
    <t>【ガス】</t>
    <phoneticPr fontId="3"/>
  </si>
  <si>
    <t>【電気】</t>
    <rPh sb="1" eb="3">
      <t>デンキ</t>
    </rPh>
    <phoneticPr fontId="3"/>
  </si>
  <si>
    <t>[給湯接続の場合]</t>
    <rPh sb="1" eb="3">
      <t>キュウトウ</t>
    </rPh>
    <rPh sb="3" eb="5">
      <t>セツゾク</t>
    </rPh>
    <rPh sb="6" eb="8">
      <t>バアイ</t>
    </rPh>
    <phoneticPr fontId="3"/>
  </si>
  <si>
    <t>[給水接続の場合]</t>
    <rPh sb="1" eb="3">
      <t>キュウスイ</t>
    </rPh>
    <rPh sb="3" eb="5">
      <t>セツゾク</t>
    </rPh>
    <rPh sb="6" eb="8">
      <t>バアイ</t>
    </rPh>
    <phoneticPr fontId="3"/>
  </si>
  <si>
    <r>
      <rPr>
        <i/>
        <sz val="10"/>
        <rFont val="Cambria"/>
        <family val="1"/>
      </rPr>
      <t>P</t>
    </r>
    <r>
      <rPr>
        <vertAlign val="subscript"/>
        <sz val="10"/>
        <rFont val="Cambria"/>
        <family val="1"/>
      </rPr>
      <t>sG</t>
    </r>
    <r>
      <rPr>
        <i/>
        <sz val="10"/>
        <rFont val="Cambria"/>
        <family val="1"/>
      </rPr>
      <t xml:space="preserve"> </t>
    </r>
    <r>
      <rPr>
        <sz val="10"/>
        <rFont val="ＭＳ Ｐゴシック"/>
        <family val="3"/>
        <charset val="128"/>
      </rPr>
      <t>：待機状態に達した時間までのガス消費量[kWh/回]</t>
    </r>
    <phoneticPr fontId="3"/>
  </si>
  <si>
    <r>
      <t>θ</t>
    </r>
    <r>
      <rPr>
        <vertAlign val="subscript"/>
        <sz val="10"/>
        <rFont val="Cambria"/>
        <family val="1"/>
      </rPr>
      <t xml:space="preserve">hH </t>
    </r>
    <r>
      <rPr>
        <sz val="10"/>
        <rFont val="Cambria"/>
        <family val="1"/>
      </rPr>
      <t>(</t>
    </r>
    <r>
      <rPr>
        <i/>
        <sz val="10"/>
        <rFont val="Cambria"/>
        <family val="1"/>
      </rPr>
      <t>θ</t>
    </r>
    <r>
      <rPr>
        <vertAlign val="subscript"/>
        <sz val="10"/>
        <rFont val="Cambria"/>
        <family val="1"/>
      </rPr>
      <t>hc</t>
    </r>
    <r>
      <rPr>
        <sz val="10"/>
        <rFont val="Cambria"/>
        <family val="1"/>
      </rPr>
      <t>)  =</t>
    </r>
    <phoneticPr fontId="3"/>
  </si>
  <si>
    <r>
      <rPr>
        <i/>
        <sz val="10"/>
        <rFont val="Cambria"/>
        <family val="1"/>
      </rPr>
      <t>θ</t>
    </r>
    <r>
      <rPr>
        <vertAlign val="subscript"/>
        <sz val="10"/>
        <rFont val="Cambria"/>
        <family val="1"/>
      </rPr>
      <t>hH</t>
    </r>
    <r>
      <rPr>
        <sz val="10"/>
        <rFont val="ＭＳ Ｐゴシック"/>
        <family val="3"/>
        <charset val="128"/>
      </rPr>
      <t>：</t>
    </r>
    <r>
      <rPr>
        <sz val="10"/>
        <rFont val="Cambria"/>
        <family val="1"/>
      </rPr>
      <t xml:space="preserve">  </t>
    </r>
    <r>
      <rPr>
        <sz val="10"/>
        <rFont val="ＭＳ Ｐゴシック"/>
        <family val="3"/>
        <charset val="128"/>
      </rPr>
      <t>給湯温度[℃]、</t>
    </r>
    <r>
      <rPr>
        <i/>
        <sz val="10"/>
        <rFont val="Cambria"/>
        <family val="1"/>
      </rPr>
      <t>θ</t>
    </r>
    <r>
      <rPr>
        <vertAlign val="subscript"/>
        <sz val="10"/>
        <rFont val="Cambria"/>
        <family val="1"/>
      </rPr>
      <t>hc</t>
    </r>
    <r>
      <rPr>
        <sz val="10"/>
        <rFont val="ＭＳ Ｐゴシック"/>
        <family val="3"/>
        <charset val="128"/>
      </rPr>
      <t>：給水温度[℃]</t>
    </r>
    <rPh sb="8" eb="10">
      <t>オンド</t>
    </rPh>
    <rPh sb="18" eb="20">
      <t>キュウスイ</t>
    </rPh>
    <rPh sb="20" eb="22">
      <t>オンド</t>
    </rPh>
    <phoneticPr fontId="3"/>
  </si>
  <si>
    <r>
      <t>θ</t>
    </r>
    <r>
      <rPr>
        <vertAlign val="subscript"/>
        <sz val="10"/>
        <rFont val="Cambria"/>
        <family val="1"/>
      </rPr>
      <t xml:space="preserve">hH </t>
    </r>
    <r>
      <rPr>
        <sz val="10"/>
        <rFont val="Cambria"/>
        <family val="1"/>
      </rPr>
      <t>(</t>
    </r>
    <r>
      <rPr>
        <i/>
        <sz val="10"/>
        <rFont val="Cambria"/>
        <family val="1"/>
      </rPr>
      <t>θ</t>
    </r>
    <r>
      <rPr>
        <vertAlign val="subscript"/>
        <sz val="10"/>
        <rFont val="Cambria"/>
        <family val="1"/>
      </rPr>
      <t>hc</t>
    </r>
    <r>
      <rPr>
        <sz val="10"/>
        <rFont val="Cambria"/>
        <family val="1"/>
      </rPr>
      <t xml:space="preserve">)  </t>
    </r>
    <r>
      <rPr>
        <sz val="10"/>
        <rFont val="ＭＳ Ｐ明朝"/>
        <family val="1"/>
        <charset val="128"/>
      </rPr>
      <t>平均値</t>
    </r>
    <r>
      <rPr>
        <sz val="10"/>
        <rFont val="Cambria"/>
        <family val="1"/>
      </rPr>
      <t xml:space="preserve"> =</t>
    </r>
    <rPh sb="11" eb="14">
      <t>ヘイキンチ</t>
    </rPh>
    <phoneticPr fontId="3"/>
  </si>
  <si>
    <t>[電動機]</t>
    <rPh sb="1" eb="4">
      <t>デンドウキ</t>
    </rPh>
    <phoneticPr fontId="3"/>
  </si>
  <si>
    <t>[電熱装置]</t>
    <rPh sb="1" eb="3">
      <t>デンネツ</t>
    </rPh>
    <rPh sb="3" eb="5">
      <t>ソウチ</t>
    </rPh>
    <phoneticPr fontId="3"/>
  </si>
  <si>
    <r>
      <rPr>
        <i/>
        <sz val="10"/>
        <rFont val="Cambria"/>
        <family val="1"/>
      </rPr>
      <t>ε</t>
    </r>
    <r>
      <rPr>
        <vertAlign val="subscript"/>
        <sz val="10"/>
        <rFont val="Cambria"/>
        <family val="1"/>
      </rPr>
      <t>p</t>
    </r>
    <r>
      <rPr>
        <sz val="10"/>
        <rFont val="Cambria"/>
        <family val="1"/>
      </rPr>
      <t xml:space="preserve"> =</t>
    </r>
    <phoneticPr fontId="3"/>
  </si>
  <si>
    <r>
      <rPr>
        <i/>
        <sz val="10"/>
        <rFont val="Cambria"/>
        <family val="1"/>
      </rPr>
      <t>T</t>
    </r>
    <r>
      <rPr>
        <vertAlign val="subscript"/>
        <sz val="10"/>
        <rFont val="Cambria"/>
        <family val="1"/>
      </rPr>
      <t>2</t>
    </r>
    <r>
      <rPr>
        <sz val="10"/>
        <rFont val="Cambria"/>
        <family val="1"/>
      </rPr>
      <t xml:space="preserve"> </t>
    </r>
    <r>
      <rPr>
        <sz val="10"/>
        <rFont val="ＭＳ Ｐゴシック"/>
        <family val="3"/>
        <charset val="128"/>
      </rPr>
      <t>：洗浄タンクが60 ℃以上の満水に達した時間[min]</t>
    </r>
    <phoneticPr fontId="3"/>
  </si>
  <si>
    <r>
      <rPr>
        <i/>
        <sz val="10"/>
        <rFont val="Cambria"/>
        <family val="1"/>
      </rPr>
      <t>θ</t>
    </r>
    <r>
      <rPr>
        <vertAlign val="subscript"/>
        <sz val="10"/>
        <rFont val="Cambria"/>
        <family val="1"/>
      </rPr>
      <t xml:space="preserve">hC </t>
    </r>
    <r>
      <rPr>
        <sz val="10"/>
        <rFont val="Cambria"/>
        <family val="1"/>
      </rPr>
      <t>=</t>
    </r>
    <phoneticPr fontId="3"/>
  </si>
  <si>
    <r>
      <t>　</t>
    </r>
    <r>
      <rPr>
        <i/>
        <sz val="10"/>
        <rFont val="Cambria"/>
        <family val="1"/>
      </rPr>
      <t>W</t>
    </r>
    <r>
      <rPr>
        <vertAlign val="subscript"/>
        <sz val="10"/>
        <rFont val="Cambria"/>
        <family val="1"/>
      </rPr>
      <t>s</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立上り時給湯（給水）量[ℓ/回]</t>
    </r>
    <rPh sb="13" eb="15">
      <t>キュウスイ</t>
    </rPh>
    <phoneticPr fontId="3"/>
  </si>
  <si>
    <r>
      <t>　</t>
    </r>
    <r>
      <rPr>
        <i/>
        <sz val="10"/>
        <rFont val="Cambria"/>
        <family val="1"/>
      </rPr>
      <t>W</t>
    </r>
    <r>
      <rPr>
        <vertAlign val="subscript"/>
        <sz val="10"/>
        <rFont val="Cambria"/>
        <family val="1"/>
      </rPr>
      <t>c</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処理時給湯（給水）量[ℓ/ﾗｯｸ]</t>
    </r>
    <rPh sb="6" eb="8">
      <t>ショリ</t>
    </rPh>
    <rPh sb="8" eb="9">
      <t>ジ</t>
    </rPh>
    <rPh sb="9" eb="11">
      <t>キュウトウ</t>
    </rPh>
    <rPh sb="12" eb="14">
      <t>キュウスイ</t>
    </rPh>
    <rPh sb="15" eb="16">
      <t>リョウ</t>
    </rPh>
    <phoneticPr fontId="3"/>
  </si>
  <si>
    <t>性能測定結果</t>
    <rPh sb="0" eb="2">
      <t>セイノウ</t>
    </rPh>
    <rPh sb="2" eb="4">
      <t>ソクテイ</t>
    </rPh>
    <rPh sb="4" eb="6">
      <t>ケッカ</t>
    </rPh>
    <phoneticPr fontId="3"/>
  </si>
  <si>
    <t>室温(℃)</t>
    <phoneticPr fontId="3"/>
  </si>
  <si>
    <r>
      <rPr>
        <i/>
        <sz val="10"/>
        <rFont val="Cambria"/>
        <family val="1"/>
      </rPr>
      <t>Q</t>
    </r>
    <r>
      <rPr>
        <vertAlign val="subscript"/>
        <sz val="10"/>
        <rFont val="Cambria"/>
        <family val="1"/>
      </rPr>
      <t>sE</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立上り時消費電力量[kWh/回]</t>
    </r>
    <rPh sb="10" eb="12">
      <t>ショウヒ</t>
    </rPh>
    <rPh sb="12" eb="14">
      <t>デンリョク</t>
    </rPh>
    <rPh sb="14" eb="15">
      <t>リョウ</t>
    </rPh>
    <rPh sb="20" eb="21">
      <t>カイ</t>
    </rPh>
    <phoneticPr fontId="3"/>
  </si>
  <si>
    <r>
      <rPr>
        <i/>
        <sz val="10"/>
        <rFont val="Cambria"/>
        <family val="1"/>
      </rPr>
      <t>P</t>
    </r>
    <r>
      <rPr>
        <vertAlign val="subscript"/>
        <sz val="10"/>
        <rFont val="Cambria"/>
        <family val="1"/>
      </rPr>
      <t xml:space="preserve">sE </t>
    </r>
    <r>
      <rPr>
        <sz val="10"/>
        <rFont val="ＭＳ Ｐゴシック"/>
        <family val="3"/>
        <charset val="128"/>
      </rPr>
      <t>：</t>
    </r>
    <r>
      <rPr>
        <sz val="10"/>
        <rFont val="Cambria"/>
        <family val="1"/>
      </rPr>
      <t xml:space="preserve"> </t>
    </r>
    <r>
      <rPr>
        <sz val="10"/>
        <rFont val="ＭＳ Ｐゴシック"/>
        <family val="3"/>
        <charset val="128"/>
      </rPr>
      <t>消費電力量</t>
    </r>
    <r>
      <rPr>
        <sz val="10"/>
        <rFont val="Century"/>
        <family val="1"/>
      </rPr>
      <t>[</t>
    </r>
    <r>
      <rPr>
        <sz val="10"/>
        <rFont val="ＭＳ Ｐゴシック"/>
        <family val="3"/>
        <charset val="128"/>
      </rPr>
      <t>kWh/回]</t>
    </r>
    <rPh sb="10" eb="11">
      <t>リョウ</t>
    </rPh>
    <phoneticPr fontId="3"/>
  </si>
  <si>
    <r>
      <rPr>
        <i/>
        <sz val="10"/>
        <rFont val="Cambria"/>
        <family val="1"/>
      </rPr>
      <t>Q</t>
    </r>
    <r>
      <rPr>
        <vertAlign val="subscript"/>
        <sz val="10"/>
        <rFont val="Cambria"/>
        <family val="1"/>
      </rPr>
      <t xml:space="preserve">srE </t>
    </r>
    <r>
      <rPr>
        <sz val="10"/>
        <rFont val="Cambria"/>
        <family val="1"/>
      </rPr>
      <t xml:space="preserve">: </t>
    </r>
    <r>
      <rPr>
        <sz val="10"/>
        <rFont val="ＭＳ Ｐゴシック"/>
        <family val="3"/>
        <charset val="128"/>
      </rPr>
      <t>洗浄水入替え時消費電力量[kWh/回]</t>
    </r>
    <rPh sb="9" eb="10">
      <t>スイ</t>
    </rPh>
    <rPh sb="18" eb="19">
      <t>リョウ</t>
    </rPh>
    <rPh sb="24" eb="25">
      <t>カイ</t>
    </rPh>
    <phoneticPr fontId="3"/>
  </si>
  <si>
    <r>
      <rPr>
        <i/>
        <sz val="10"/>
        <rFont val="Cambria"/>
        <family val="1"/>
      </rPr>
      <t>P</t>
    </r>
    <r>
      <rPr>
        <vertAlign val="subscript"/>
        <sz val="10"/>
        <rFont val="Cambria"/>
        <family val="1"/>
      </rPr>
      <t xml:space="preserve">srE </t>
    </r>
    <r>
      <rPr>
        <sz val="10"/>
        <rFont val="ＭＳ Ｐゴシック"/>
        <family val="3"/>
        <charset val="128"/>
      </rPr>
      <t>：</t>
    </r>
    <r>
      <rPr>
        <sz val="10"/>
        <rFont val="Cambria"/>
        <family val="1"/>
      </rPr>
      <t xml:space="preserve"> </t>
    </r>
    <r>
      <rPr>
        <sz val="10"/>
        <rFont val="ＭＳ Ｐゴシック"/>
        <family val="3"/>
        <charset val="128"/>
      </rPr>
      <t>消費電力量[kWh/回]</t>
    </r>
    <rPh sb="11" eb="12">
      <t>リョウ</t>
    </rPh>
    <phoneticPr fontId="3"/>
  </si>
  <si>
    <r>
      <rPr>
        <i/>
        <sz val="10"/>
        <rFont val="Cambria"/>
        <family val="1"/>
      </rPr>
      <t>P</t>
    </r>
    <r>
      <rPr>
        <vertAlign val="subscript"/>
        <sz val="10"/>
        <rFont val="Cambria"/>
        <family val="1"/>
      </rPr>
      <t>cE</t>
    </r>
    <r>
      <rPr>
        <sz val="10"/>
        <rFont val="Cambria"/>
        <family val="1"/>
      </rPr>
      <t xml:space="preserve"> </t>
    </r>
    <r>
      <rPr>
        <sz val="10"/>
        <rFont val="ＭＳ Ｐゴシック"/>
        <family val="3"/>
        <charset val="128"/>
      </rPr>
      <t>：</t>
    </r>
    <r>
      <rPr>
        <sz val="10"/>
        <rFont val="Cambria"/>
        <family val="1"/>
      </rPr>
      <t xml:space="preserve"> </t>
    </r>
    <r>
      <rPr>
        <sz val="10"/>
        <rFont val="ＭＳ Ｐゴシック"/>
        <family val="3"/>
        <charset val="128"/>
      </rPr>
      <t>消費電力量</t>
    </r>
    <r>
      <rPr>
        <sz val="10"/>
        <rFont val="Century"/>
        <family val="1"/>
      </rPr>
      <t xml:space="preserve"> [</t>
    </r>
    <r>
      <rPr>
        <sz val="10"/>
        <rFont val="ＭＳ Ｐゴシック"/>
        <family val="3"/>
        <charset val="128"/>
      </rPr>
      <t>kWh/回]</t>
    </r>
    <rPh sb="6" eb="8">
      <t>ショウヒ</t>
    </rPh>
    <rPh sb="8" eb="10">
      <t>デンリョク</t>
    </rPh>
    <rPh sb="10" eb="11">
      <t>リョウ</t>
    </rPh>
    <phoneticPr fontId="3"/>
  </si>
  <si>
    <r>
      <rPr>
        <i/>
        <sz val="10"/>
        <rFont val="Cambria"/>
        <family val="1"/>
      </rPr>
      <t>Q</t>
    </r>
    <r>
      <rPr>
        <vertAlign val="subscript"/>
        <sz val="10"/>
        <rFont val="Cambria"/>
        <family val="1"/>
      </rPr>
      <t>cE</t>
    </r>
    <r>
      <rPr>
        <sz val="10"/>
        <rFont val="Cambria"/>
        <family val="1"/>
      </rPr>
      <t xml:space="preserve"> : </t>
    </r>
    <r>
      <rPr>
        <sz val="10"/>
        <rFont val="ＭＳ Ｐゴシック"/>
        <family val="3"/>
        <charset val="128"/>
      </rPr>
      <t>処理時消費電力量[kWh/h]</t>
    </r>
    <rPh sb="6" eb="8">
      <t>ショリ</t>
    </rPh>
    <rPh sb="8" eb="9">
      <t>ジ</t>
    </rPh>
    <rPh sb="9" eb="11">
      <t>ショウヒ</t>
    </rPh>
    <rPh sb="11" eb="13">
      <t>デンリョク</t>
    </rPh>
    <rPh sb="13" eb="14">
      <t>リョウ</t>
    </rPh>
    <phoneticPr fontId="3"/>
  </si>
  <si>
    <r>
      <rPr>
        <i/>
        <sz val="10"/>
        <rFont val="Cambria"/>
        <family val="1"/>
      </rPr>
      <t>P</t>
    </r>
    <r>
      <rPr>
        <vertAlign val="subscript"/>
        <sz val="10"/>
        <rFont val="Cambria"/>
        <family val="1"/>
      </rPr>
      <t xml:space="preserve">iE </t>
    </r>
    <r>
      <rPr>
        <sz val="10"/>
        <rFont val="ＭＳ Ｐゴシック"/>
        <family val="3"/>
        <charset val="128"/>
      </rPr>
      <t>：</t>
    </r>
    <r>
      <rPr>
        <sz val="10"/>
        <rFont val="Cambria"/>
        <family val="1"/>
      </rPr>
      <t xml:space="preserve"> </t>
    </r>
    <r>
      <rPr>
        <sz val="10"/>
        <rFont val="ＭＳ Ｐゴシック"/>
        <family val="3"/>
        <charset val="128"/>
      </rPr>
      <t>待機時の実測消費電力量[kWh]</t>
    </r>
    <rPh sb="6" eb="8">
      <t>タイキ</t>
    </rPh>
    <rPh sb="8" eb="9">
      <t>ジ</t>
    </rPh>
    <rPh sb="10" eb="12">
      <t>ジッソク</t>
    </rPh>
    <rPh sb="12" eb="14">
      <t>ショウヒ</t>
    </rPh>
    <rPh sb="14" eb="16">
      <t>デンリョク</t>
    </rPh>
    <rPh sb="16" eb="17">
      <t>リョウ</t>
    </rPh>
    <phoneticPr fontId="3"/>
  </si>
  <si>
    <r>
      <rPr>
        <i/>
        <sz val="10"/>
        <rFont val="Cambria"/>
        <family val="1"/>
      </rPr>
      <t>Q</t>
    </r>
    <r>
      <rPr>
        <vertAlign val="subscript"/>
        <sz val="10"/>
        <rFont val="Cambria"/>
        <family val="1"/>
      </rPr>
      <t xml:space="preserve">iE </t>
    </r>
    <r>
      <rPr>
        <sz val="10"/>
        <rFont val="ＭＳ Ｐゴシック"/>
        <family val="3"/>
        <charset val="128"/>
      </rPr>
      <t>：</t>
    </r>
    <r>
      <rPr>
        <sz val="10"/>
        <rFont val="Cambria"/>
        <family val="1"/>
      </rPr>
      <t xml:space="preserve"> </t>
    </r>
    <r>
      <rPr>
        <sz val="10"/>
        <rFont val="ＭＳ Ｐゴシック"/>
        <family val="3"/>
        <charset val="128"/>
      </rPr>
      <t>待機時消費電力量[kWh/h]</t>
    </r>
    <rPh sb="13" eb="14">
      <t>リョウ</t>
    </rPh>
    <phoneticPr fontId="3"/>
  </si>
  <si>
    <r>
      <rPr>
        <i/>
        <sz val="10"/>
        <rFont val="Cambria"/>
        <family val="1"/>
      </rPr>
      <t>Q</t>
    </r>
    <r>
      <rPr>
        <vertAlign val="subscript"/>
        <sz val="10"/>
        <rFont val="Cambria"/>
        <family val="1"/>
      </rPr>
      <t xml:space="preserve">sE </t>
    </r>
    <r>
      <rPr>
        <sz val="10"/>
        <rFont val="ＭＳ Ｐゴシック"/>
        <family val="3"/>
        <charset val="128"/>
      </rPr>
      <t>： 立上り時消費電力量[kWh/回]</t>
    </r>
    <rPh sb="14" eb="15">
      <t>リョウ</t>
    </rPh>
    <rPh sb="20" eb="21">
      <t>カイ</t>
    </rPh>
    <phoneticPr fontId="3"/>
  </si>
  <si>
    <r>
      <rPr>
        <i/>
        <sz val="10"/>
        <rFont val="Cambria"/>
        <family val="1"/>
      </rPr>
      <t>Q</t>
    </r>
    <r>
      <rPr>
        <vertAlign val="subscript"/>
        <sz val="10"/>
        <rFont val="Cambria"/>
        <family val="1"/>
      </rPr>
      <t xml:space="preserve">srE </t>
    </r>
    <r>
      <rPr>
        <sz val="10"/>
        <rFont val="ＭＳ Ｐゴシック"/>
        <family val="3"/>
        <charset val="128"/>
      </rPr>
      <t>：</t>
    </r>
    <r>
      <rPr>
        <sz val="10"/>
        <rFont val="Cambria"/>
        <family val="1"/>
      </rPr>
      <t xml:space="preserve"> </t>
    </r>
    <r>
      <rPr>
        <sz val="10"/>
        <rFont val="ＭＳ Ｐゴシック"/>
        <family val="3"/>
        <charset val="128"/>
      </rPr>
      <t>洗浄水入替え時消費電力量：[kWh/回]</t>
    </r>
    <rPh sb="9" eb="10">
      <t>スイ</t>
    </rPh>
    <rPh sb="18" eb="19">
      <t>リョウ</t>
    </rPh>
    <rPh sb="25" eb="26">
      <t>カイ</t>
    </rPh>
    <phoneticPr fontId="3"/>
  </si>
  <si>
    <r>
      <rPr>
        <i/>
        <sz val="10"/>
        <rFont val="Cambria"/>
        <family val="1"/>
      </rPr>
      <t>Q</t>
    </r>
    <r>
      <rPr>
        <vertAlign val="subscript"/>
        <sz val="10"/>
        <rFont val="Cambria"/>
        <family val="1"/>
      </rPr>
      <t xml:space="preserve">iE </t>
    </r>
    <r>
      <rPr>
        <sz val="10"/>
        <rFont val="ＭＳ Ｐゴシック"/>
        <family val="3"/>
        <charset val="128"/>
      </rPr>
      <t>： 待機時消費電力量[kWh/h]</t>
    </r>
    <rPh sb="13" eb="14">
      <t>リョウ</t>
    </rPh>
    <phoneticPr fontId="3"/>
  </si>
  <si>
    <r>
      <rPr>
        <i/>
        <sz val="10"/>
        <rFont val="Cambria"/>
        <family val="1"/>
      </rPr>
      <t>Q</t>
    </r>
    <r>
      <rPr>
        <vertAlign val="subscript"/>
        <sz val="10"/>
        <rFont val="Cambria"/>
        <family val="1"/>
      </rPr>
      <t xml:space="preserve">cE </t>
    </r>
    <r>
      <rPr>
        <sz val="10"/>
        <rFont val="ＭＳ Ｐゴシック"/>
        <family val="3"/>
        <charset val="128"/>
      </rPr>
      <t>： 処理時消費電力量[kWh/h]</t>
    </r>
    <rPh sb="13" eb="14">
      <t>リョウ</t>
    </rPh>
    <phoneticPr fontId="3"/>
  </si>
  <si>
    <r>
      <rPr>
        <i/>
        <sz val="10"/>
        <rFont val="Cambria"/>
        <family val="1"/>
      </rPr>
      <t>Q</t>
    </r>
    <r>
      <rPr>
        <vertAlign val="subscript"/>
        <sz val="10"/>
        <rFont val="Cambria"/>
        <family val="1"/>
      </rPr>
      <t>dVE</t>
    </r>
    <r>
      <rPr>
        <sz val="10"/>
        <rFont val="ＭＳ Ｐゴシック"/>
        <family val="3"/>
        <charset val="128"/>
      </rPr>
      <t>: 日あたり消費電力量（量想定）[kWh/日]</t>
    </r>
    <rPh sb="14" eb="15">
      <t>リョウ</t>
    </rPh>
    <phoneticPr fontId="3"/>
  </si>
  <si>
    <t>（許容差 10%）</t>
    <rPh sb="1" eb="4">
      <t>キョヨウサ</t>
    </rPh>
    <phoneticPr fontId="3"/>
  </si>
  <si>
    <r>
      <t>（ｋJ/m</t>
    </r>
    <r>
      <rPr>
        <vertAlign val="superscript"/>
        <sz val="9"/>
        <rFont val="ＭＳ Ｐゴシック"/>
        <family val="3"/>
        <charset val="128"/>
      </rPr>
      <t>3</t>
    </r>
    <r>
      <rPr>
        <sz val="9"/>
        <rFont val="ＭＳ Ｐゴシック"/>
        <family val="3"/>
        <charset val="128"/>
      </rPr>
      <t>N)</t>
    </r>
    <phoneticPr fontId="3"/>
  </si>
  <si>
    <r>
      <rPr>
        <b/>
        <sz val="10"/>
        <rFont val="ＭＳ Ｐゴシック"/>
        <family val="1"/>
        <scheme val="major"/>
      </rPr>
      <t xml:space="preserve"> </t>
    </r>
    <r>
      <rPr>
        <b/>
        <sz val="10"/>
        <rFont val="ＭＳ Ｐゴシック"/>
        <family val="3"/>
        <charset val="128"/>
        <scheme val="major"/>
      </rPr>
      <t>最大ガス消費量</t>
    </r>
    <r>
      <rPr>
        <b/>
        <sz val="10"/>
        <rFont val="Cambria"/>
        <family val="1"/>
      </rPr>
      <t xml:space="preserve"> </t>
    </r>
    <r>
      <rPr>
        <b/>
        <i/>
        <sz val="10"/>
        <rFont val="Cambria"/>
        <family val="1"/>
      </rPr>
      <t>p</t>
    </r>
    <r>
      <rPr>
        <b/>
        <i/>
        <vertAlign val="subscript"/>
        <sz val="10"/>
        <rFont val="Cambria"/>
        <family val="1"/>
      </rPr>
      <t>xG</t>
    </r>
    <r>
      <rPr>
        <b/>
        <sz val="10"/>
        <rFont val="ＭＳ Ｐゴシック"/>
        <family val="3"/>
        <charset val="128"/>
      </rPr>
      <t xml:space="preserve"> [kW] の算出方法は、次の①、②より選択する。</t>
    </r>
    <rPh sb="1" eb="3">
      <t>サイダイ</t>
    </rPh>
    <rPh sb="5" eb="7">
      <t>ショウヒ</t>
    </rPh>
    <rPh sb="7" eb="8">
      <t>リョウ</t>
    </rPh>
    <rPh sb="19" eb="21">
      <t>サンシュツ</t>
    </rPh>
    <rPh sb="21" eb="23">
      <t>ホウホウ</t>
    </rPh>
    <rPh sb="25" eb="26">
      <t>ツギ</t>
    </rPh>
    <rPh sb="32" eb="34">
      <t>センタク</t>
    </rPh>
    <phoneticPr fontId="3"/>
  </si>
  <si>
    <r>
      <rPr>
        <i/>
        <sz val="10"/>
        <rFont val="Cambria"/>
        <family val="1"/>
      </rPr>
      <t>ε</t>
    </r>
    <r>
      <rPr>
        <vertAlign val="subscript"/>
        <sz val="10"/>
        <rFont val="Cambria"/>
        <family val="1"/>
      </rPr>
      <t xml:space="preserve">p </t>
    </r>
    <r>
      <rPr>
        <sz val="10"/>
        <rFont val="ＭＳ Ｐゴシック"/>
        <family val="3"/>
        <charset val="128"/>
      </rPr>
      <t>：</t>
    </r>
    <r>
      <rPr>
        <sz val="10"/>
        <rFont val="Cambria"/>
        <family val="1"/>
      </rPr>
      <t xml:space="preserve"> </t>
    </r>
    <r>
      <rPr>
        <sz val="10"/>
        <rFont val="ＭＳ Ｐゴシック"/>
        <family val="3"/>
        <charset val="128"/>
      </rPr>
      <t>試験機器の最大ガス消費量と</t>
    </r>
    <r>
      <rPr>
        <sz val="10"/>
        <rFont val="ＭＳ Ｐゴシック"/>
        <family val="3"/>
        <charset val="128"/>
      </rPr>
      <t>定格エネルギー消費量（ガス）の差</t>
    </r>
    <rPh sb="10" eb="12">
      <t>サイダイ</t>
    </rPh>
    <rPh sb="14" eb="16">
      <t>ショウヒ</t>
    </rPh>
    <rPh sb="16" eb="17">
      <t>リョウ</t>
    </rPh>
    <rPh sb="18" eb="20">
      <t>テイカク</t>
    </rPh>
    <rPh sb="25" eb="27">
      <t>ショウヒ</t>
    </rPh>
    <rPh sb="27" eb="28">
      <t>リョウ</t>
    </rPh>
    <rPh sb="33" eb="34">
      <t>サ</t>
    </rPh>
    <phoneticPr fontId="3"/>
  </si>
  <si>
    <r>
      <rPr>
        <i/>
        <sz val="14"/>
        <rFont val="Cambria"/>
        <family val="1"/>
      </rPr>
      <t>p</t>
    </r>
    <r>
      <rPr>
        <vertAlign val="subscript"/>
        <sz val="14"/>
        <rFont val="Cambria"/>
        <family val="1"/>
      </rPr>
      <t>rG</t>
    </r>
    <r>
      <rPr>
        <sz val="14"/>
        <rFont val="Cambria"/>
        <family val="1"/>
      </rPr>
      <t xml:space="preserve"> </t>
    </r>
    <r>
      <rPr>
        <sz val="10"/>
        <rFont val="Cambria"/>
        <family val="1"/>
      </rPr>
      <t xml:space="preserve">=  </t>
    </r>
    <phoneticPr fontId="3"/>
  </si>
  <si>
    <r>
      <rPr>
        <i/>
        <sz val="14"/>
        <rFont val="Cambria"/>
        <family val="1"/>
      </rPr>
      <t>p</t>
    </r>
    <r>
      <rPr>
        <vertAlign val="subscript"/>
        <sz val="14"/>
        <rFont val="Cambria"/>
        <family val="1"/>
      </rPr>
      <t>rE</t>
    </r>
    <r>
      <rPr>
        <sz val="11"/>
        <rFont val="Cambria"/>
        <family val="1"/>
      </rPr>
      <t xml:space="preserve"> =  </t>
    </r>
    <phoneticPr fontId="3"/>
  </si>
  <si>
    <r>
      <rPr>
        <i/>
        <sz val="14"/>
        <rFont val="Cambria"/>
        <family val="1"/>
      </rPr>
      <t>Q</t>
    </r>
    <r>
      <rPr>
        <vertAlign val="subscript"/>
        <sz val="14"/>
        <rFont val="Cambria"/>
        <family val="1"/>
      </rPr>
      <t>srG</t>
    </r>
    <phoneticPr fontId="3"/>
  </si>
  <si>
    <r>
      <rPr>
        <i/>
        <sz val="10"/>
        <rFont val="Cambria"/>
        <family val="1"/>
      </rPr>
      <t>P</t>
    </r>
    <r>
      <rPr>
        <vertAlign val="subscript"/>
        <sz val="10"/>
        <rFont val="Cambria"/>
        <family val="1"/>
      </rPr>
      <t xml:space="preserve">sG </t>
    </r>
    <r>
      <rPr>
        <sz val="10"/>
        <rFont val="ＭＳ Ｐゴシック"/>
        <family val="3"/>
        <charset val="128"/>
      </rPr>
      <t>：</t>
    </r>
    <r>
      <rPr>
        <sz val="10"/>
        <rFont val="Cambria"/>
        <family val="1"/>
      </rPr>
      <t xml:space="preserve"> </t>
    </r>
    <r>
      <rPr>
        <sz val="10"/>
        <rFont val="ＭＳ Ｐゴシック"/>
        <family val="3"/>
        <charset val="128"/>
      </rPr>
      <t>ガス消費量</t>
    </r>
    <r>
      <rPr>
        <sz val="10"/>
        <rFont val="Century"/>
        <family val="1"/>
      </rPr>
      <t>[</t>
    </r>
    <r>
      <rPr>
        <sz val="10"/>
        <rFont val="ＭＳ Ｐゴシック"/>
        <family val="3"/>
        <charset val="128"/>
      </rPr>
      <t>kWh/回]</t>
    </r>
    <rPh sb="8" eb="11">
      <t>ショウヒリョウ</t>
    </rPh>
    <phoneticPr fontId="3"/>
  </si>
  <si>
    <r>
      <t>　待機状態になっていることを確認し、ガス消費量</t>
    </r>
    <r>
      <rPr>
        <i/>
        <sz val="10"/>
        <rFont val="Cambria"/>
        <family val="1"/>
      </rPr>
      <t>P</t>
    </r>
    <r>
      <rPr>
        <vertAlign val="subscript"/>
        <sz val="10"/>
        <rFont val="Cambria"/>
        <family val="1"/>
      </rPr>
      <t>iG</t>
    </r>
    <r>
      <rPr>
        <sz val="10"/>
        <rFont val="Cambria"/>
        <family val="1"/>
      </rPr>
      <t>[kWh]</t>
    </r>
    <r>
      <rPr>
        <sz val="10"/>
        <rFont val="ＭＳ Ｐゴシック"/>
        <family val="3"/>
        <charset val="128"/>
      </rPr>
      <t>および消費電力量</t>
    </r>
    <r>
      <rPr>
        <i/>
        <sz val="10"/>
        <rFont val="Cambria"/>
        <family val="1"/>
      </rPr>
      <t>P</t>
    </r>
    <r>
      <rPr>
        <vertAlign val="subscript"/>
        <sz val="10"/>
        <rFont val="Cambria"/>
        <family val="1"/>
      </rPr>
      <t>iE</t>
    </r>
    <r>
      <rPr>
        <sz val="10"/>
        <rFont val="Cambria"/>
        <family val="1"/>
      </rPr>
      <t>[kWh]</t>
    </r>
    <r>
      <rPr>
        <sz val="10"/>
        <rFont val="ＭＳ Ｐゴシック"/>
        <family val="3"/>
        <charset val="128"/>
      </rPr>
      <t xml:space="preserve">の測定を開始する。待機状態を維持するために加熱または停止を周期的に繰り返す試験機器の測定時間は、待機状態に達してから1時間以上経た後、加熱が終了した直後から1時間以上経た後の別の加熱が終了した直後までとする。ただし、複数の加熱を独立に制御しているため加熱または停止が周期的に繰り返されない試験機器の測定時間は、待機状態に達してから1時間以上経た後、2時間以上とする。なお、待機状態に達した後の温度変化が少ないPID 制御などの温度調節機能をもつ試験機器の測定時間は、待機状態に達してから1時間以上経た後、15分以上とする。 
</t>
    </r>
    <phoneticPr fontId="3"/>
  </si>
  <si>
    <t>⑤日あたりエネルギー消費量を試算する方法</t>
    <rPh sb="1" eb="2">
      <t>ヒ</t>
    </rPh>
    <rPh sb="10" eb="13">
      <t>ショウヒリョウ</t>
    </rPh>
    <rPh sb="14" eb="16">
      <t>シサン</t>
    </rPh>
    <rPh sb="18" eb="20">
      <t>ホウホウ</t>
    </rPh>
    <phoneticPr fontId="3"/>
  </si>
  <si>
    <t>（選択）</t>
  </si>
  <si>
    <t>（選択して下さい）</t>
  </si>
  <si>
    <t>(選択してください)</t>
  </si>
  <si>
    <t>(選択して下さい)</t>
  </si>
  <si>
    <t>アンダーカウンター洗浄機、ドアタイプ洗浄機（選択してください）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</si>
</sst>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0_ "/>
    <numFmt numFmtId="177" formatCode="0.000_);[Red]\(0.000\)"/>
    <numFmt numFmtId="178" formatCode="0.000_ "/>
    <numFmt numFmtId="179" formatCode="0.0_ "/>
    <numFmt numFmtId="180" formatCode="0_ "/>
    <numFmt numFmtId="181" formatCode="0_);[Red]\(0\)"/>
    <numFmt numFmtId="182" formatCode="#,##0.000_ "/>
    <numFmt numFmtId="183" formatCode="0.0_);[Red]\(0.0\)"/>
    <numFmt numFmtId="184" formatCode="0.00_);[Red]\(0.00\)"/>
    <numFmt numFmtId="185" formatCode="yyyy&quot;年&quot;m&quot;月&quot;d&quot;日&quot;;@"/>
    <numFmt numFmtId="186" formatCode="yyyy/m/d;@"/>
    <numFmt numFmtId="187" formatCode="0.0%"/>
    <numFmt numFmtId="188" formatCode="#,##0.0_ "/>
    <numFmt numFmtId="189" formatCode="\+#.0;\-#.0;0"/>
    <numFmt numFmtId="190" formatCode="\+#&quot;％&quot;;\-#&quot;％&quot;;0"/>
    <numFmt numFmtId="191" formatCode="\+#&quot;%､&quot;;\-#&quot;%&quot;;0"/>
    <numFmt numFmtId="192" formatCode="&quot;＝&quot;\+#&quot;％、&quot;;\-#&quot;％、&quot;;0"/>
    <numFmt numFmtId="193" formatCode="#&quot;Hz時&quot;"/>
    <numFmt numFmtId="194" formatCode="\+#.0;\-#0.0"/>
    <numFmt numFmtId="195" formatCode="\+#&quot;%、&quot;"/>
    <numFmt numFmtId="196" formatCode="#&quot;%&quot;"/>
    <numFmt numFmtId="197" formatCode="#,##0.0;[Red]\-#,##0.0"/>
    <numFmt numFmtId="198" formatCode="#,##0.000;[Red]\-#,##0.000"/>
  </numFmts>
  <fonts count="8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vertAlign val="subscript"/>
      <sz val="10"/>
      <name val="ＭＳ Ｐゴシック"/>
      <family val="3"/>
      <charset val="128"/>
    </font>
    <font>
      <b/>
      <sz val="10"/>
      <name val="ＭＳ Ｐゴシック"/>
      <family val="3"/>
      <charset val="128"/>
    </font>
    <font>
      <i/>
      <sz val="14"/>
      <name val="Century"/>
      <family val="1"/>
    </font>
    <font>
      <sz val="10"/>
      <name val="Century"/>
      <family val="1"/>
    </font>
    <font>
      <i/>
      <sz val="10"/>
      <name val="Century"/>
      <family val="1"/>
    </font>
    <font>
      <vertAlign val="subscript"/>
      <sz val="10"/>
      <name val="Century"/>
      <family val="1"/>
    </font>
    <font>
      <i/>
      <sz val="10"/>
      <name val="ＭＳ Ｐ明朝"/>
      <family val="1"/>
      <charset val="128"/>
    </font>
    <font>
      <i/>
      <sz val="10"/>
      <name val="Symbol"/>
      <family val="1"/>
      <charset val="2"/>
    </font>
    <font>
      <sz val="10"/>
      <color indexed="10"/>
      <name val="ＭＳ Ｐゴシック"/>
      <family val="3"/>
      <charset val="128"/>
    </font>
    <font>
      <sz val="10"/>
      <name val="Symbol"/>
      <family val="1"/>
      <charset val="2"/>
    </font>
    <font>
      <vertAlign val="subscript"/>
      <sz val="10"/>
      <name val="ＭＳ Ｐ明朝"/>
      <family val="1"/>
      <charset val="128"/>
    </font>
    <font>
      <vertAlign val="subscript"/>
      <sz val="14"/>
      <name val="ＭＳ Ｐ明朝"/>
      <family val="1"/>
      <charset val="128"/>
    </font>
    <font>
      <b/>
      <i/>
      <sz val="10"/>
      <name val="Century"/>
      <family val="1"/>
    </font>
    <font>
      <i/>
      <sz val="9"/>
      <name val="Century"/>
      <family val="1"/>
    </font>
    <font>
      <sz val="9"/>
      <color indexed="10"/>
      <name val="ＭＳ Ｐゴシック"/>
      <family val="3"/>
      <charset val="128"/>
    </font>
    <font>
      <sz val="8"/>
      <color indexed="8"/>
      <name val="ＭＳ Ｐゴシック"/>
      <family val="3"/>
      <charset val="128"/>
    </font>
    <font>
      <sz val="7"/>
      <name val="ＭＳ Ｐゴシック"/>
      <family val="3"/>
      <charset val="128"/>
    </font>
    <font>
      <sz val="8.5"/>
      <name val="ＭＳ Ｐゴシック"/>
      <family val="3"/>
      <charset val="128"/>
    </font>
    <font>
      <sz val="7.5"/>
      <name val="ＭＳ Ｐゴシック"/>
      <family val="3"/>
      <charset val="128"/>
    </font>
    <font>
      <i/>
      <sz val="10"/>
      <name val="ＭＳ Ｐゴシック"/>
      <family val="3"/>
      <charset val="128"/>
    </font>
    <font>
      <vertAlign val="superscript"/>
      <sz val="9"/>
      <name val="ＭＳ Ｐゴシック"/>
      <family val="3"/>
      <charset val="128"/>
    </font>
    <font>
      <vertAlign val="superscript"/>
      <sz val="10"/>
      <name val="ＭＳ Ｐゴシック"/>
      <family val="3"/>
      <charset val="128"/>
    </font>
    <font>
      <sz val="10"/>
      <color indexed="8"/>
      <name val="ＭＳ Ｐゴシック"/>
      <family val="3"/>
      <charset val="128"/>
    </font>
    <font>
      <b/>
      <vertAlign val="subscript"/>
      <sz val="10"/>
      <name val="Century"/>
      <family val="1"/>
    </font>
    <font>
      <b/>
      <vertAlign val="subscript"/>
      <sz val="10"/>
      <name val="ＭＳ Ｐゴシック"/>
      <family val="3"/>
      <charset val="128"/>
    </font>
    <font>
      <b/>
      <sz val="10"/>
      <name val="Century"/>
      <family val="1"/>
    </font>
    <font>
      <i/>
      <sz val="14"/>
      <name val="Cambria"/>
      <family val="1"/>
    </font>
    <font>
      <vertAlign val="subscript"/>
      <sz val="14"/>
      <name val="Cambria"/>
      <family val="1"/>
    </font>
    <font>
      <sz val="14"/>
      <name val="Cambria"/>
      <family val="1"/>
    </font>
    <font>
      <b/>
      <sz val="11"/>
      <name val="Cambria"/>
      <family val="1"/>
    </font>
    <font>
      <b/>
      <vertAlign val="subscript"/>
      <sz val="11"/>
      <name val="Cambria"/>
      <family val="1"/>
    </font>
    <font>
      <b/>
      <sz val="10"/>
      <name val="Cambria"/>
      <family val="1"/>
    </font>
    <font>
      <b/>
      <i/>
      <sz val="10"/>
      <name val="Cambria"/>
      <family val="1"/>
    </font>
    <font>
      <b/>
      <i/>
      <vertAlign val="subscript"/>
      <sz val="10"/>
      <name val="Cambria"/>
      <family val="1"/>
    </font>
    <font>
      <i/>
      <sz val="10"/>
      <name val="Cambria"/>
      <family val="1"/>
    </font>
    <font>
      <i/>
      <vertAlign val="subscript"/>
      <sz val="10"/>
      <name val="Cambria"/>
      <family val="1"/>
    </font>
    <font>
      <sz val="10"/>
      <name val="Cambria"/>
      <family val="1"/>
    </font>
    <font>
      <vertAlign val="subscript"/>
      <sz val="10"/>
      <name val="Cambria"/>
      <family val="1"/>
    </font>
    <font>
      <i/>
      <sz val="11"/>
      <name val="Cambria"/>
      <family val="1"/>
    </font>
    <font>
      <vertAlign val="subscript"/>
      <sz val="11"/>
      <name val="Cambria"/>
      <family val="1"/>
    </font>
    <font>
      <sz val="11"/>
      <name val="Cambria"/>
      <family val="1"/>
    </font>
    <font>
      <b/>
      <i/>
      <sz val="11"/>
      <name val="Cambria"/>
      <family val="1"/>
    </font>
    <font>
      <b/>
      <i/>
      <vertAlign val="subscript"/>
      <sz val="11"/>
      <name val="Cambria"/>
      <family val="1"/>
    </font>
    <font>
      <b/>
      <i/>
      <sz val="12"/>
      <name val="Cambria"/>
      <family val="1"/>
    </font>
    <font>
      <b/>
      <vertAlign val="subscript"/>
      <sz val="12"/>
      <name val="Cambria"/>
      <family val="1"/>
    </font>
    <font>
      <b/>
      <sz val="12"/>
      <name val="Cambria"/>
      <family val="1"/>
    </font>
    <font>
      <i/>
      <vertAlign val="subscript"/>
      <sz val="11"/>
      <name val="Cambria"/>
      <family val="1"/>
    </font>
    <font>
      <i/>
      <sz val="12"/>
      <name val="Cambria"/>
      <family val="1"/>
    </font>
    <font>
      <vertAlign val="subscript"/>
      <sz val="12"/>
      <name val="Cambria"/>
      <family val="1"/>
    </font>
    <font>
      <sz val="12"/>
      <name val="Cambria"/>
      <family val="1"/>
    </font>
    <font>
      <sz val="10"/>
      <color rgb="FFFF0000"/>
      <name val="ＭＳ Ｐゴシック"/>
      <family val="3"/>
      <charset val="128"/>
    </font>
    <font>
      <b/>
      <sz val="14"/>
      <color rgb="FFFF0000"/>
      <name val="ＭＳ Ｐゴシック"/>
      <family val="3"/>
      <charset val="128"/>
    </font>
    <font>
      <sz val="10"/>
      <name val="ＭＳ Ｐゴシック"/>
      <family val="3"/>
      <charset val="128"/>
      <scheme val="major"/>
    </font>
    <font>
      <sz val="9"/>
      <name val="ＭＳ Ｐゴシック"/>
      <family val="3"/>
      <charset val="128"/>
      <scheme val="major"/>
    </font>
    <font>
      <sz val="8"/>
      <color rgb="FFFF0000"/>
      <name val="ＭＳ Ｐゴシック"/>
      <family val="3"/>
      <charset val="128"/>
    </font>
    <font>
      <b/>
      <sz val="18"/>
      <color theme="0"/>
      <name val="ＭＳ Ｐゴシック"/>
      <family val="3"/>
      <charset val="128"/>
      <scheme val="major"/>
    </font>
    <font>
      <sz val="10"/>
      <color theme="0"/>
      <name val="ＭＳ Ｐゴシック"/>
      <family val="3"/>
      <charset val="128"/>
    </font>
    <font>
      <sz val="8"/>
      <color theme="1"/>
      <name val="ＭＳ Ｐゴシック"/>
      <family val="3"/>
      <charset val="128"/>
    </font>
    <font>
      <sz val="10"/>
      <color theme="1"/>
      <name val="ＭＳ Ｐゴシック"/>
      <family val="3"/>
      <charset val="128"/>
      <scheme val="major"/>
    </font>
    <font>
      <b/>
      <sz val="10"/>
      <name val="ＭＳ Ｐゴシック"/>
      <family val="3"/>
      <charset val="128"/>
      <scheme val="major"/>
    </font>
    <font>
      <b/>
      <sz val="11"/>
      <name val="ＭＳ Ｐゴシック"/>
      <family val="3"/>
      <charset val="128"/>
      <scheme val="major"/>
    </font>
    <font>
      <sz val="11"/>
      <name val="ＭＳ Ｐゴシック"/>
      <family val="3"/>
      <charset val="128"/>
      <scheme val="major"/>
    </font>
    <font>
      <sz val="10"/>
      <name val="ＭＳ Ｐゴシック"/>
      <family val="3"/>
      <charset val="128"/>
      <scheme val="minor"/>
    </font>
    <font>
      <i/>
      <sz val="10"/>
      <color indexed="8"/>
      <name val="Cambria"/>
      <family val="1"/>
    </font>
    <font>
      <vertAlign val="subscript"/>
      <sz val="10"/>
      <color indexed="8"/>
      <name val="Cambria"/>
      <family val="1"/>
    </font>
    <font>
      <sz val="12"/>
      <name val="ＭＳ Ｐ明朝"/>
      <family val="1"/>
      <charset val="128"/>
    </font>
    <font>
      <b/>
      <sz val="9"/>
      <name val="ＭＳ Ｐゴシック"/>
      <family val="3"/>
      <charset val="128"/>
    </font>
    <font>
      <sz val="10"/>
      <name val="ＭＳ Ｐ明朝"/>
      <family val="1"/>
      <charset val="128"/>
    </font>
    <font>
      <b/>
      <sz val="10"/>
      <name val="ＭＳ Ｐゴシック"/>
      <family val="1"/>
      <scheme val="major"/>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s>
  <borders count="81">
    <border>
      <left/>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806">
    <xf numFmtId="0" fontId="0" fillId="0" borderId="0" xfId="0">
      <alignment vertical="center"/>
    </xf>
    <xf numFmtId="0" fontId="0" fillId="4" borderId="5" xfId="0" applyFill="1" applyBorder="1" applyProtection="1">
      <alignment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0" xfId="0" applyFill="1" applyBorder="1" applyProtection="1">
      <alignment vertical="center"/>
      <protection locked="0"/>
    </xf>
    <xf numFmtId="0" fontId="0" fillId="4" borderId="9" xfId="0" applyFill="1" applyBorder="1" applyProtection="1">
      <alignment vertical="center"/>
      <protection locked="0"/>
    </xf>
    <xf numFmtId="0" fontId="0" fillId="4" borderId="10" xfId="0" applyFill="1" applyBorder="1" applyProtection="1">
      <alignment vertical="center"/>
      <protection locked="0"/>
    </xf>
    <xf numFmtId="0" fontId="0" fillId="4" borderId="11" xfId="0" applyFill="1" applyBorder="1" applyProtection="1">
      <alignment vertical="center"/>
      <protection locked="0"/>
    </xf>
    <xf numFmtId="0" fontId="0" fillId="4" borderId="12" xfId="0" applyFill="1" applyBorder="1" applyProtection="1">
      <alignment vertical="center"/>
      <protection locked="0"/>
    </xf>
    <xf numFmtId="180" fontId="5" fillId="2" borderId="15" xfId="0" applyNumberFormat="1" applyFont="1" applyFill="1" applyBorder="1" applyAlignment="1" applyProtection="1">
      <alignment horizontal="center" vertical="center" shrinkToFit="1"/>
      <protection locked="0"/>
    </xf>
    <xf numFmtId="180" fontId="5" fillId="2" borderId="16" xfId="0" applyNumberFormat="1" applyFont="1" applyFill="1" applyBorder="1" applyAlignment="1" applyProtection="1">
      <alignment horizontal="center" vertical="center" shrinkToFit="1"/>
      <protection locked="0"/>
    </xf>
    <xf numFmtId="0" fontId="0" fillId="0" borderId="0" xfId="0" applyProtection="1">
      <alignment vertical="center"/>
    </xf>
    <xf numFmtId="0" fontId="5" fillId="0" borderId="0" xfId="0" applyFont="1" applyProtection="1">
      <alignment vertical="center"/>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0" xfId="0" applyFont="1" applyBorder="1" applyProtection="1">
      <alignment vertical="center"/>
    </xf>
    <xf numFmtId="178" fontId="0" fillId="0" borderId="0" xfId="0" applyNumberFormat="1" applyProtection="1">
      <alignment vertical="center"/>
    </xf>
    <xf numFmtId="0" fontId="5" fillId="0" borderId="0" xfId="0" applyFont="1" applyBorder="1" applyAlignment="1" applyProtection="1">
      <alignment horizontal="center" vertical="center"/>
    </xf>
    <xf numFmtId="178" fontId="0" fillId="0" borderId="0" xfId="0" applyNumberFormat="1" applyBorder="1" applyProtection="1">
      <alignment vertical="center"/>
    </xf>
    <xf numFmtId="0" fontId="17" fillId="0" borderId="0" xfId="0" applyFont="1" applyBorder="1" applyAlignment="1" applyProtection="1">
      <alignment horizontal="right" vertical="center"/>
    </xf>
    <xf numFmtId="178" fontId="5" fillId="0" borderId="0" xfId="0" applyNumberFormat="1" applyFont="1" applyBorder="1" applyProtection="1">
      <alignment vertical="center"/>
    </xf>
    <xf numFmtId="179" fontId="5" fillId="0" borderId="0" xfId="0" applyNumberFormat="1" applyFont="1" applyBorder="1" applyProtection="1">
      <alignment vertical="center"/>
    </xf>
    <xf numFmtId="176" fontId="5" fillId="0" borderId="0" xfId="0" applyNumberFormat="1" applyFont="1" applyBorder="1" applyAlignment="1" applyProtection="1">
      <alignment vertical="center"/>
    </xf>
    <xf numFmtId="0" fontId="17"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178" fontId="6" fillId="0" borderId="0" xfId="0" applyNumberFormat="1" applyFont="1" applyBorder="1" applyProtection="1">
      <alignment vertical="center"/>
    </xf>
    <xf numFmtId="0" fontId="7" fillId="0" borderId="0" xfId="0" applyFont="1" applyBorder="1" applyProtection="1">
      <alignment vertical="center"/>
    </xf>
    <xf numFmtId="0" fontId="0" fillId="0" borderId="0" xfId="0" applyBorder="1" applyProtection="1">
      <alignment vertical="center"/>
    </xf>
    <xf numFmtId="176" fontId="5" fillId="0" borderId="0" xfId="0" applyNumberFormat="1" applyFont="1" applyFill="1" applyBorder="1" applyAlignment="1" applyProtection="1">
      <alignment vertical="center"/>
    </xf>
    <xf numFmtId="178" fontId="5" fillId="0" borderId="28" xfId="0" applyNumberFormat="1" applyFont="1" applyFill="1" applyBorder="1" applyProtection="1">
      <alignment vertical="center"/>
    </xf>
    <xf numFmtId="180" fontId="5" fillId="0" borderId="0" xfId="0" applyNumberFormat="1" applyFont="1" applyBorder="1" applyAlignment="1" applyProtection="1">
      <alignment vertical="center"/>
    </xf>
    <xf numFmtId="0" fontId="5" fillId="0" borderId="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13" xfId="0" applyFont="1" applyBorder="1" applyAlignment="1" applyProtection="1">
      <alignment horizontal="center" vertical="center"/>
    </xf>
    <xf numFmtId="0" fontId="10" fillId="0" borderId="0" xfId="0" applyFont="1" applyProtection="1">
      <alignment vertical="center"/>
    </xf>
    <xf numFmtId="176" fontId="5" fillId="0" borderId="0" xfId="0" applyNumberFormat="1" applyFont="1" applyBorder="1" applyProtection="1">
      <alignment vertical="center"/>
    </xf>
    <xf numFmtId="0" fontId="0" fillId="0" borderId="0" xfId="0" applyAlignment="1" applyProtection="1">
      <alignment vertical="center" shrinkToFit="1"/>
    </xf>
    <xf numFmtId="176" fontId="5" fillId="0" borderId="0" xfId="0" applyNumberFormat="1" applyFont="1" applyFill="1" applyBorder="1" applyAlignment="1" applyProtection="1">
      <alignment horizontal="right" vertical="center"/>
    </xf>
    <xf numFmtId="179" fontId="5" fillId="0" borderId="0" xfId="0" applyNumberFormat="1" applyFont="1" applyProtection="1">
      <alignment vertical="center"/>
    </xf>
    <xf numFmtId="176" fontId="5" fillId="0" borderId="11" xfId="0" applyNumberFormat="1" applyFont="1" applyFill="1" applyBorder="1" applyAlignment="1" applyProtection="1">
      <alignment horizontal="right" vertical="center"/>
    </xf>
    <xf numFmtId="0" fontId="8" fillId="0" borderId="0" xfId="0" applyFont="1" applyProtection="1">
      <alignment vertical="center"/>
    </xf>
    <xf numFmtId="0" fontId="5" fillId="0" borderId="0" xfId="0" applyFont="1" applyFill="1" applyProtection="1">
      <alignment vertical="center"/>
    </xf>
    <xf numFmtId="176" fontId="5" fillId="0" borderId="11" xfId="0" applyNumberFormat="1" applyFont="1" applyBorder="1" applyAlignment="1" applyProtection="1">
      <alignment vertical="center"/>
    </xf>
    <xf numFmtId="179" fontId="6" fillId="0" borderId="0" xfId="0" applyNumberFormat="1" applyFont="1" applyBorder="1" applyAlignment="1" applyProtection="1">
      <alignment vertical="center"/>
    </xf>
    <xf numFmtId="0" fontId="5" fillId="0" borderId="17" xfId="0" applyFont="1" applyBorder="1" applyAlignment="1" applyProtection="1">
      <alignment horizontal="center" vertical="center" shrinkToFit="1"/>
    </xf>
    <xf numFmtId="179" fontId="5" fillId="0" borderId="0" xfId="0" applyNumberFormat="1" applyFont="1" applyBorder="1" applyAlignment="1" applyProtection="1">
      <alignment vertical="center"/>
    </xf>
    <xf numFmtId="180" fontId="5" fillId="0" borderId="25" xfId="0" applyNumberFormat="1" applyFont="1" applyFill="1" applyBorder="1" applyAlignment="1" applyProtection="1">
      <alignment horizontal="right" vertical="center"/>
    </xf>
    <xf numFmtId="0" fontId="9" fillId="0" borderId="0" xfId="0" applyFont="1" applyBorder="1" applyAlignment="1" applyProtection="1">
      <alignment vertical="center"/>
    </xf>
    <xf numFmtId="0" fontId="0" fillId="0" borderId="0" xfId="0" applyBorder="1" applyAlignment="1" applyProtection="1">
      <alignment horizontal="center" vertical="center"/>
    </xf>
    <xf numFmtId="187" fontId="5" fillId="0" borderId="0" xfId="1" applyNumberFormat="1" applyFont="1" applyBorder="1" applyAlignment="1" applyProtection="1">
      <alignment horizontal="right"/>
    </xf>
    <xf numFmtId="180" fontId="5" fillId="4" borderId="33" xfId="0" applyNumberFormat="1" applyFont="1" applyFill="1" applyBorder="1" applyAlignment="1" applyProtection="1">
      <alignment horizontal="center" vertical="center" shrinkToFit="1"/>
      <protection locked="0"/>
    </xf>
    <xf numFmtId="178" fontId="12" fillId="0" borderId="0" xfId="0" applyNumberFormat="1" applyFont="1" applyFill="1" applyBorder="1" applyAlignment="1" applyProtection="1">
      <alignment horizontal="right" vertical="center"/>
    </xf>
    <xf numFmtId="191" fontId="10" fillId="5" borderId="34" xfId="0" applyNumberFormat="1" applyFont="1" applyFill="1" applyBorder="1" applyAlignment="1" applyProtection="1">
      <alignment horizontal="left" vertical="center" wrapText="1"/>
    </xf>
    <xf numFmtId="191" fontId="29" fillId="5" borderId="8" xfId="0" applyNumberFormat="1" applyFont="1" applyFill="1" applyBorder="1" applyAlignment="1" applyProtection="1">
      <alignment horizontal="right" vertical="center" wrapText="1"/>
    </xf>
    <xf numFmtId="191" fontId="29" fillId="5" borderId="9" xfId="0" applyNumberFormat="1" applyFont="1" applyFill="1" applyBorder="1" applyAlignment="1" applyProtection="1">
      <alignment horizontal="left" vertical="center" wrapText="1"/>
    </xf>
    <xf numFmtId="191" fontId="29" fillId="5" borderId="35" xfId="0" applyNumberFormat="1" applyFont="1" applyFill="1" applyBorder="1" applyAlignment="1" applyProtection="1">
      <alignment horizontal="right" vertical="center" wrapText="1"/>
    </xf>
    <xf numFmtId="191" fontId="29" fillId="5" borderId="34" xfId="0" applyNumberFormat="1" applyFont="1" applyFill="1" applyBorder="1" applyAlignment="1" applyProtection="1">
      <alignment horizontal="left" vertical="center" wrapText="1"/>
    </xf>
    <xf numFmtId="191" fontId="10" fillId="5" borderId="31" xfId="0" applyNumberFormat="1" applyFont="1" applyFill="1" applyBorder="1" applyAlignment="1" applyProtection="1">
      <alignment horizontal="right" vertical="center" wrapText="1"/>
    </xf>
    <xf numFmtId="0" fontId="5" fillId="0" borderId="13" xfId="0" applyFont="1" applyBorder="1" applyProtection="1">
      <alignment vertical="center"/>
    </xf>
    <xf numFmtId="187" fontId="5" fillId="0" borderId="0" xfId="0" applyNumberFormat="1" applyFont="1" applyFill="1" applyBorder="1" applyAlignment="1" applyProtection="1">
      <alignment horizontal="right" vertical="center"/>
    </xf>
    <xf numFmtId="0" fontId="39" fillId="0" borderId="0" xfId="0" applyFont="1" applyBorder="1" applyAlignment="1" applyProtection="1">
      <alignment horizontal="right" vertical="center"/>
    </xf>
    <xf numFmtId="49" fontId="49" fillId="5" borderId="0" xfId="2" applyNumberFormat="1" applyFont="1" applyFill="1" applyBorder="1" applyAlignment="1" applyProtection="1">
      <alignment horizontal="right" vertical="center" wrapText="1"/>
    </xf>
    <xf numFmtId="0" fontId="5" fillId="5" borderId="24" xfId="0" applyFont="1" applyFill="1" applyBorder="1" applyProtection="1">
      <alignment vertical="center"/>
    </xf>
    <xf numFmtId="0" fontId="5" fillId="5" borderId="0" xfId="0" applyFont="1" applyFill="1" applyBorder="1" applyProtection="1">
      <alignment vertical="center"/>
    </xf>
    <xf numFmtId="0" fontId="5" fillId="5" borderId="9" xfId="0" applyFont="1" applyFill="1" applyBorder="1" applyProtection="1">
      <alignment vertical="center"/>
    </xf>
    <xf numFmtId="0" fontId="5" fillId="5" borderId="24" xfId="0" applyFont="1" applyFill="1" applyBorder="1" applyAlignment="1" applyProtection="1">
      <alignment horizontal="right" vertical="center"/>
    </xf>
    <xf numFmtId="0" fontId="4" fillId="5" borderId="0" xfId="0" applyFont="1" applyFill="1" applyBorder="1" applyProtection="1">
      <alignment vertical="center"/>
    </xf>
    <xf numFmtId="0" fontId="3" fillId="5" borderId="9" xfId="0" applyFont="1" applyFill="1" applyBorder="1" applyProtection="1">
      <alignment vertical="center"/>
    </xf>
    <xf numFmtId="0" fontId="5" fillId="5" borderId="24" xfId="0" applyFont="1" applyFill="1" applyBorder="1" applyAlignment="1" applyProtection="1">
      <alignment horizontal="left" vertical="center"/>
    </xf>
    <xf numFmtId="0" fontId="5" fillId="5" borderId="0" xfId="0" applyFont="1" applyFill="1" applyBorder="1" applyAlignment="1" applyProtection="1">
      <alignment vertical="top" wrapText="1"/>
    </xf>
    <xf numFmtId="0" fontId="0" fillId="5" borderId="0" xfId="0" applyFill="1" applyBorder="1" applyProtection="1">
      <alignment vertical="center"/>
    </xf>
    <xf numFmtId="0" fontId="63" fillId="5" borderId="9" xfId="0" applyFont="1" applyFill="1" applyBorder="1" applyProtection="1">
      <alignment vertical="center"/>
    </xf>
    <xf numFmtId="0" fontId="5" fillId="5" borderId="0" xfId="0" applyFont="1" applyFill="1" applyBorder="1" applyAlignment="1" applyProtection="1">
      <alignment horizontal="center" vertical="center"/>
    </xf>
    <xf numFmtId="0" fontId="53" fillId="5" borderId="0" xfId="0" applyFont="1" applyFill="1" applyBorder="1" applyAlignment="1" applyProtection="1">
      <alignment horizontal="right" vertical="center"/>
    </xf>
    <xf numFmtId="0" fontId="0" fillId="5" borderId="0" xfId="0" applyFill="1" applyBorder="1" applyAlignment="1" applyProtection="1">
      <alignment vertical="center"/>
    </xf>
    <xf numFmtId="0" fontId="16" fillId="5" borderId="0" xfId="0" applyFont="1" applyFill="1" applyBorder="1" applyProtection="1">
      <alignment vertical="center"/>
    </xf>
    <xf numFmtId="0" fontId="0" fillId="5" borderId="0" xfId="0" applyFill="1" applyBorder="1" applyAlignment="1" applyProtection="1">
      <alignment horizontal="center" vertical="center"/>
    </xf>
    <xf numFmtId="0" fontId="3" fillId="5" borderId="9" xfId="0" applyFont="1" applyFill="1" applyBorder="1" applyAlignment="1" applyProtection="1">
      <alignment vertical="center" shrinkToFit="1"/>
    </xf>
    <xf numFmtId="0" fontId="5" fillId="5" borderId="24" xfId="0" applyFont="1" applyFill="1" applyBorder="1" applyAlignment="1" applyProtection="1">
      <alignment horizontal="center" vertical="center"/>
    </xf>
    <xf numFmtId="0" fontId="0" fillId="5" borderId="0" xfId="0" applyFont="1" applyFill="1" applyBorder="1" applyProtection="1">
      <alignment vertical="center"/>
    </xf>
    <xf numFmtId="0" fontId="49" fillId="5" borderId="0" xfId="0" applyFont="1" applyFill="1" applyBorder="1" applyAlignment="1" applyProtection="1">
      <alignment horizontal="right" vertical="center"/>
    </xf>
    <xf numFmtId="0" fontId="16" fillId="5" borderId="0" xfId="0" applyFont="1" applyFill="1" applyBorder="1" applyAlignment="1" applyProtection="1">
      <alignment horizontal="right" vertical="center"/>
    </xf>
    <xf numFmtId="0" fontId="29" fillId="5" borderId="9" xfId="0" applyFont="1" applyFill="1" applyBorder="1" applyAlignment="1" applyProtection="1">
      <alignment vertical="center" shrinkToFit="1"/>
    </xf>
    <xf numFmtId="187" fontId="5" fillId="5" borderId="0" xfId="1" applyNumberFormat="1" applyFont="1" applyFill="1" applyBorder="1" applyAlignment="1" applyProtection="1">
      <alignment horizontal="right"/>
    </xf>
    <xf numFmtId="0" fontId="0" fillId="5" borderId="24" xfId="0" applyFill="1" applyBorder="1" applyProtection="1">
      <alignment vertical="center"/>
    </xf>
    <xf numFmtId="190" fontId="5" fillId="5" borderId="0" xfId="1" applyNumberFormat="1" applyFont="1" applyFill="1" applyBorder="1" applyAlignment="1" applyProtection="1">
      <alignment horizontal="left" vertical="center"/>
    </xf>
    <xf numFmtId="178" fontId="12" fillId="5" borderId="0" xfId="0" applyNumberFormat="1" applyFont="1" applyFill="1" applyBorder="1" applyAlignment="1" applyProtection="1">
      <alignment horizontal="right" vertical="center"/>
    </xf>
    <xf numFmtId="0" fontId="5" fillId="5" borderId="0" xfId="0" applyFont="1" applyFill="1" applyBorder="1" applyAlignment="1" applyProtection="1">
      <alignment horizontal="right" vertical="center"/>
    </xf>
    <xf numFmtId="38" fontId="8" fillId="5" borderId="24" xfId="2" applyFont="1" applyFill="1" applyBorder="1" applyAlignment="1" applyProtection="1">
      <alignment vertical="center" shrinkToFit="1"/>
    </xf>
    <xf numFmtId="49" fontId="65" fillId="5" borderId="0" xfId="2" applyNumberFormat="1" applyFont="1" applyFill="1" applyBorder="1" applyAlignment="1" applyProtection="1">
      <alignment horizontal="left" vertical="top" wrapText="1"/>
    </xf>
    <xf numFmtId="38" fontId="8" fillId="5" borderId="0" xfId="2" applyFont="1" applyFill="1" applyBorder="1" applyAlignment="1" applyProtection="1">
      <alignment vertical="center" shrinkToFit="1"/>
    </xf>
    <xf numFmtId="0" fontId="14" fillId="5" borderId="0" xfId="0" applyFont="1" applyFill="1" applyBorder="1" applyProtection="1">
      <alignment vertical="center"/>
    </xf>
    <xf numFmtId="0" fontId="0" fillId="5" borderId="27" xfId="0" applyFill="1" applyBorder="1" applyProtection="1">
      <alignment vertical="center"/>
    </xf>
    <xf numFmtId="0" fontId="0" fillId="5" borderId="11" xfId="0" applyFill="1" applyBorder="1" applyProtection="1">
      <alignment vertical="center"/>
    </xf>
    <xf numFmtId="0" fontId="5" fillId="5" borderId="11" xfId="0" applyFont="1" applyFill="1" applyBorder="1" applyProtection="1">
      <alignment vertical="center"/>
    </xf>
    <xf numFmtId="0" fontId="0" fillId="5" borderId="9" xfId="0" applyFill="1" applyBorder="1" applyAlignment="1" applyProtection="1">
      <alignment horizontal="left" vertical="center"/>
    </xf>
    <xf numFmtId="189" fontId="5" fillId="5" borderId="0" xfId="1" applyNumberFormat="1" applyFont="1" applyFill="1" applyBorder="1" applyAlignment="1" applyProtection="1">
      <alignment horizontal="center" vertical="center"/>
    </xf>
    <xf numFmtId="189" fontId="12" fillId="5" borderId="0" xfId="1" applyNumberFormat="1" applyFont="1" applyFill="1" applyBorder="1" applyAlignment="1" applyProtection="1">
      <alignment horizontal="center" vertical="center"/>
    </xf>
    <xf numFmtId="0" fontId="29" fillId="5" borderId="0" xfId="0" applyFont="1" applyFill="1" applyBorder="1" applyAlignment="1" applyProtection="1">
      <alignment vertical="center" shrinkToFit="1"/>
    </xf>
    <xf numFmtId="0" fontId="0" fillId="5" borderId="9" xfId="0" applyFill="1" applyBorder="1" applyProtection="1">
      <alignment vertical="center"/>
    </xf>
    <xf numFmtId="0" fontId="5" fillId="5" borderId="12" xfId="0" applyFont="1" applyFill="1" applyBorder="1" applyProtection="1">
      <alignment vertical="center"/>
    </xf>
    <xf numFmtId="49" fontId="6" fillId="5" borderId="24" xfId="2" applyNumberFormat="1" applyFont="1" applyFill="1" applyBorder="1" applyAlignment="1" applyProtection="1">
      <alignment horizontal="left" vertical="center"/>
    </xf>
    <xf numFmtId="0" fontId="0" fillId="5" borderId="0" xfId="0" applyFont="1" applyFill="1" applyBorder="1" applyAlignment="1" applyProtection="1">
      <alignment vertical="center"/>
    </xf>
    <xf numFmtId="0" fontId="53" fillId="5" borderId="0" xfId="0" applyFont="1" applyFill="1" applyBorder="1" applyProtection="1">
      <alignment vertical="center"/>
    </xf>
    <xf numFmtId="0" fontId="0" fillId="5" borderId="0" xfId="0" applyFont="1" applyFill="1" applyBorder="1" applyAlignment="1" applyProtection="1">
      <alignment horizontal="center" vertical="center"/>
    </xf>
    <xf numFmtId="0" fontId="0" fillId="5" borderId="0" xfId="0" applyFill="1" applyProtection="1">
      <alignment vertical="center"/>
    </xf>
    <xf numFmtId="0" fontId="5" fillId="5" borderId="9" xfId="0" applyFont="1" applyFill="1" applyBorder="1" applyAlignment="1" applyProtection="1">
      <alignment horizontal="left" vertical="center"/>
    </xf>
    <xf numFmtId="0" fontId="5" fillId="5" borderId="0" xfId="0" applyFont="1" applyFill="1" applyBorder="1" applyAlignment="1" applyProtection="1">
      <alignment vertical="center" shrinkToFit="1"/>
    </xf>
    <xf numFmtId="0" fontId="5" fillId="5" borderId="27" xfId="0" applyFont="1" applyFill="1" applyBorder="1" applyProtection="1">
      <alignment vertical="center"/>
    </xf>
    <xf numFmtId="0" fontId="5" fillId="5" borderId="6" xfId="0" applyFont="1" applyFill="1" applyBorder="1" applyAlignment="1" applyProtection="1">
      <alignment horizontal="center" vertical="center"/>
    </xf>
    <xf numFmtId="185" fontId="5" fillId="5" borderId="6" xfId="0" applyNumberFormat="1" applyFont="1" applyFill="1" applyBorder="1" applyAlignment="1" applyProtection="1">
      <alignment horizontal="center" vertical="center"/>
    </xf>
    <xf numFmtId="0" fontId="5" fillId="5" borderId="6" xfId="0" applyFont="1" applyFill="1" applyBorder="1" applyAlignment="1" applyProtection="1">
      <alignment horizontal="center" vertical="center" wrapText="1" shrinkToFit="1"/>
    </xf>
    <xf numFmtId="0" fontId="5" fillId="5" borderId="0" xfId="0" applyFont="1" applyFill="1" applyBorder="1" applyAlignment="1" applyProtection="1">
      <alignment horizontal="center" vertical="center" wrapText="1" shrinkToFit="1"/>
    </xf>
    <xf numFmtId="179" fontId="5" fillId="5" borderId="0" xfId="0" applyNumberFormat="1" applyFont="1" applyFill="1" applyBorder="1" applyAlignment="1" applyProtection="1">
      <alignment horizontal="center" vertical="center"/>
    </xf>
    <xf numFmtId="180" fontId="5" fillId="5" borderId="9" xfId="0" applyNumberFormat="1" applyFont="1" applyFill="1" applyBorder="1" applyAlignment="1" applyProtection="1">
      <alignment horizontal="center" vertical="center" shrinkToFit="1"/>
    </xf>
    <xf numFmtId="0" fontId="12" fillId="5" borderId="11" xfId="0" applyFont="1" applyFill="1" applyBorder="1" applyProtection="1">
      <alignment vertical="center"/>
    </xf>
    <xf numFmtId="0" fontId="64" fillId="5" borderId="0" xfId="0" applyFont="1" applyFill="1" applyBorder="1" applyProtection="1">
      <alignment vertical="center"/>
    </xf>
    <xf numFmtId="0" fontId="47" fillId="5" borderId="0" xfId="0" applyFont="1" applyFill="1" applyBorder="1" applyAlignment="1" applyProtection="1">
      <alignment horizontal="right" vertical="center"/>
    </xf>
    <xf numFmtId="178" fontId="47" fillId="5" borderId="0" xfId="0" applyNumberFormat="1" applyFont="1" applyFill="1" applyBorder="1" applyAlignment="1" applyProtection="1">
      <alignment horizontal="right" vertical="center"/>
    </xf>
    <xf numFmtId="0" fontId="17" fillId="5" borderId="0" xfId="0" applyFont="1" applyFill="1" applyBorder="1" applyAlignment="1" applyProtection="1">
      <alignment horizontal="right" vertical="center"/>
    </xf>
    <xf numFmtId="0" fontId="62" fillId="5" borderId="0" xfId="0" applyFont="1" applyFill="1" applyBorder="1" applyAlignment="1" applyProtection="1">
      <alignment vertical="top" wrapText="1"/>
    </xf>
    <xf numFmtId="0" fontId="4" fillId="5" borderId="0" xfId="0" applyFont="1" applyFill="1" applyBorder="1" applyAlignment="1" applyProtection="1">
      <alignment vertical="center"/>
    </xf>
    <xf numFmtId="0" fontId="6" fillId="5" borderId="0" xfId="0" applyFont="1" applyFill="1" applyBorder="1" applyAlignment="1" applyProtection="1">
      <alignment horizontal="left" vertical="center"/>
    </xf>
    <xf numFmtId="0" fontId="17" fillId="5"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178" fontId="5" fillId="5" borderId="0" xfId="0" applyNumberFormat="1" applyFont="1" applyFill="1" applyBorder="1" applyAlignment="1" applyProtection="1">
      <alignment horizontal="right" vertical="center"/>
    </xf>
    <xf numFmtId="0" fontId="12" fillId="5" borderId="0" xfId="0" applyFont="1" applyFill="1" applyBorder="1" applyAlignment="1" applyProtection="1">
      <alignment vertical="center"/>
    </xf>
    <xf numFmtId="0" fontId="8" fillId="5" borderId="0" xfId="0" applyFont="1" applyFill="1" applyBorder="1" applyProtection="1">
      <alignment vertical="center"/>
    </xf>
    <xf numFmtId="179" fontId="8" fillId="5" borderId="0" xfId="0" applyNumberFormat="1" applyFont="1" applyFill="1" applyBorder="1" applyProtection="1">
      <alignment vertical="center"/>
    </xf>
    <xf numFmtId="0" fontId="26" fillId="5" borderId="0" xfId="0" applyFont="1" applyFill="1" applyBorder="1" applyAlignment="1" applyProtection="1">
      <alignment horizontal="left" vertical="center"/>
    </xf>
    <xf numFmtId="176" fontId="5" fillId="5" borderId="0" xfId="0" applyNumberFormat="1" applyFont="1" applyFill="1" applyBorder="1" applyAlignment="1" applyProtection="1">
      <alignment horizontal="right" vertical="center"/>
    </xf>
    <xf numFmtId="0" fontId="17" fillId="5" borderId="0" xfId="0" applyFont="1" applyFill="1" applyBorder="1" applyAlignment="1" applyProtection="1">
      <alignment horizontal="right"/>
    </xf>
    <xf numFmtId="176" fontId="5" fillId="5" borderId="0" xfId="0" applyNumberFormat="1" applyFont="1" applyFill="1" applyBorder="1" applyProtection="1">
      <alignment vertical="center"/>
    </xf>
    <xf numFmtId="176" fontId="5" fillId="5" borderId="11" xfId="0" applyNumberFormat="1" applyFont="1" applyFill="1" applyBorder="1" applyAlignment="1" applyProtection="1">
      <alignment horizontal="right" vertical="center"/>
    </xf>
    <xf numFmtId="178" fontId="17" fillId="5" borderId="0" xfId="0" applyNumberFormat="1" applyFont="1" applyFill="1" applyBorder="1" applyAlignment="1" applyProtection="1">
      <alignment horizontal="right" vertical="center"/>
    </xf>
    <xf numFmtId="0" fontId="39" fillId="5" borderId="0" xfId="0" applyFont="1" applyFill="1" applyBorder="1" applyAlignment="1" applyProtection="1">
      <alignment horizontal="right" vertical="center"/>
    </xf>
    <xf numFmtId="178" fontId="5" fillId="5" borderId="0" xfId="0" applyNumberFormat="1" applyFont="1" applyFill="1" applyBorder="1" applyAlignment="1" applyProtection="1">
      <alignment horizontal="center" vertical="center"/>
    </xf>
    <xf numFmtId="0" fontId="5" fillId="5" borderId="6" xfId="0" applyFont="1" applyFill="1" applyBorder="1" applyAlignment="1" applyProtection="1">
      <alignment horizontal="center" vertical="center" shrinkToFit="1"/>
    </xf>
    <xf numFmtId="0" fontId="51" fillId="5" borderId="0" xfId="0" applyFont="1" applyFill="1" applyBorder="1" applyAlignment="1" applyProtection="1">
      <alignment horizontal="right" vertical="center"/>
    </xf>
    <xf numFmtId="0" fontId="5" fillId="5" borderId="0" xfId="0" applyFont="1" applyFill="1" applyBorder="1" applyAlignment="1" applyProtection="1">
      <alignment vertical="center" wrapText="1"/>
    </xf>
    <xf numFmtId="0" fontId="53" fillId="5" borderId="0" xfId="0" applyFont="1" applyFill="1" applyBorder="1" applyAlignment="1" applyProtection="1">
      <alignment horizontal="center" vertical="center"/>
    </xf>
    <xf numFmtId="0" fontId="5" fillId="5" borderId="0" xfId="0" applyFont="1" applyFill="1" applyProtection="1">
      <alignment vertical="center"/>
    </xf>
    <xf numFmtId="187" fontId="5" fillId="5" borderId="0" xfId="0" applyNumberFormat="1" applyFont="1" applyFill="1" applyBorder="1" applyAlignment="1" applyProtection="1">
      <alignment horizontal="right" vertical="center"/>
    </xf>
    <xf numFmtId="0" fontId="62" fillId="5" borderId="0" xfId="0" applyFont="1" applyFill="1" applyBorder="1" applyAlignment="1" applyProtection="1">
      <alignment vertical="top"/>
    </xf>
    <xf numFmtId="179" fontId="5" fillId="5" borderId="6" xfId="0" applyNumberFormat="1" applyFont="1" applyFill="1" applyBorder="1" applyAlignment="1" applyProtection="1">
      <alignment horizontal="center" vertical="center"/>
    </xf>
    <xf numFmtId="0" fontId="5" fillId="5" borderId="0" xfId="0" applyFont="1" applyFill="1" applyBorder="1" applyAlignment="1" applyProtection="1">
      <alignment vertical="top"/>
    </xf>
    <xf numFmtId="0" fontId="25" fillId="5" borderId="0" xfId="0" applyFont="1" applyFill="1" applyBorder="1" applyAlignment="1" applyProtection="1">
      <alignment horizontal="right" vertical="center"/>
    </xf>
    <xf numFmtId="0" fontId="6" fillId="5" borderId="0" xfId="0" applyFont="1" applyFill="1" applyBorder="1" applyAlignment="1" applyProtection="1">
      <alignment horizontal="center" vertical="center"/>
    </xf>
    <xf numFmtId="180" fontId="5" fillId="5" borderId="7" xfId="0" applyNumberFormat="1" applyFont="1" applyFill="1" applyBorder="1" applyAlignment="1" applyProtection="1">
      <alignment horizontal="center" vertical="center" shrinkToFit="1"/>
    </xf>
    <xf numFmtId="0" fontId="5" fillId="5" borderId="9" xfId="0" applyFont="1" applyFill="1" applyBorder="1" applyAlignment="1" applyProtection="1">
      <alignment vertical="center" shrinkToFit="1"/>
    </xf>
    <xf numFmtId="179" fontId="8" fillId="5" borderId="0" xfId="0" applyNumberFormat="1" applyFont="1" applyFill="1" applyBorder="1" applyAlignment="1" applyProtection="1">
      <alignment vertical="center" shrinkToFit="1"/>
    </xf>
    <xf numFmtId="0" fontId="8" fillId="5" borderId="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xf>
    <xf numFmtId="0" fontId="8" fillId="5" borderId="12" xfId="0" applyFont="1" applyFill="1" applyBorder="1" applyAlignment="1" applyProtection="1">
      <alignment horizontal="center" vertical="center" shrinkToFit="1"/>
    </xf>
    <xf numFmtId="176" fontId="5" fillId="5" borderId="0" xfId="0" applyNumberFormat="1" applyFont="1" applyFill="1" applyBorder="1" applyAlignment="1" applyProtection="1">
      <alignment vertical="center"/>
    </xf>
    <xf numFmtId="0" fontId="6" fillId="5" borderId="0" xfId="0" applyFont="1" applyFill="1" applyBorder="1" applyAlignment="1" applyProtection="1">
      <alignment vertical="center"/>
    </xf>
    <xf numFmtId="0" fontId="49" fillId="5"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shrinkToFit="1"/>
    </xf>
    <xf numFmtId="178" fontId="5" fillId="5" borderId="0" xfId="0" applyNumberFormat="1" applyFont="1" applyFill="1" applyBorder="1" applyAlignment="1" applyProtection="1">
      <alignment vertical="center"/>
    </xf>
    <xf numFmtId="0" fontId="15" fillId="5" borderId="0" xfId="0" applyFont="1" applyFill="1" applyBorder="1" applyAlignment="1" applyProtection="1">
      <alignment horizontal="right" vertical="center"/>
    </xf>
    <xf numFmtId="176" fontId="12" fillId="5" borderId="0" xfId="0" applyNumberFormat="1" applyFont="1" applyFill="1" applyBorder="1" applyAlignment="1" applyProtection="1">
      <alignment horizontal="center" vertical="center"/>
    </xf>
    <xf numFmtId="0" fontId="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justify" vertical="justify" wrapText="1"/>
    </xf>
    <xf numFmtId="0" fontId="49" fillId="5" borderId="0" xfId="0" applyFont="1" applyFill="1" applyBorder="1" applyAlignment="1" applyProtection="1">
      <alignment horizontal="right" vertical="top" wrapText="1"/>
    </xf>
    <xf numFmtId="180" fontId="5" fillId="5" borderId="0" xfId="0" applyNumberFormat="1" applyFont="1" applyFill="1" applyBorder="1" applyAlignment="1" applyProtection="1">
      <alignment vertical="center"/>
    </xf>
    <xf numFmtId="0" fontId="22" fillId="5" borderId="0" xfId="0" applyFont="1" applyFill="1" applyBorder="1" applyAlignment="1" applyProtection="1">
      <alignment horizontal="right" vertical="center"/>
    </xf>
    <xf numFmtId="0" fontId="10" fillId="5" borderId="0" xfId="0" applyFont="1" applyFill="1" applyBorder="1" applyAlignment="1" applyProtection="1">
      <alignment vertical="center" shrinkToFit="1"/>
    </xf>
    <xf numFmtId="0" fontId="8" fillId="5" borderId="0" xfId="0" applyFont="1" applyFill="1" applyBorder="1" applyAlignment="1" applyProtection="1">
      <alignment horizontal="right" vertical="center"/>
    </xf>
    <xf numFmtId="183" fontId="5" fillId="5" borderId="0" xfId="0" applyNumberFormat="1" applyFont="1" applyFill="1" applyBorder="1" applyAlignment="1" applyProtection="1">
      <alignment vertical="center"/>
    </xf>
    <xf numFmtId="179" fontId="5" fillId="5" borderId="0" xfId="0" applyNumberFormat="1" applyFont="1" applyFill="1" applyBorder="1" applyAlignment="1" applyProtection="1">
      <alignment horizontal="right" vertical="center"/>
    </xf>
    <xf numFmtId="0" fontId="63" fillId="5" borderId="0" xfId="0" applyFont="1" applyFill="1" applyBorder="1" applyProtection="1">
      <alignment vertical="center"/>
    </xf>
    <xf numFmtId="180" fontId="5" fillId="5" borderId="0" xfId="0" applyNumberFormat="1" applyFont="1" applyFill="1" applyBorder="1" applyProtection="1">
      <alignment vertical="center"/>
    </xf>
    <xf numFmtId="180" fontId="5" fillId="5" borderId="0" xfId="0" applyNumberFormat="1" applyFont="1" applyFill="1" applyBorder="1" applyAlignment="1" applyProtection="1">
      <alignment horizontal="right" vertical="center"/>
    </xf>
    <xf numFmtId="0" fontId="27" fillId="5" borderId="9" xfId="0" applyFont="1" applyFill="1" applyBorder="1" applyProtection="1">
      <alignment vertical="center"/>
    </xf>
    <xf numFmtId="180" fontId="12" fillId="5" borderId="11" xfId="0" applyNumberFormat="1" applyFont="1" applyFill="1" applyBorder="1" applyAlignment="1" applyProtection="1">
      <alignment horizontal="center" vertical="center"/>
    </xf>
    <xf numFmtId="180" fontId="12" fillId="5" borderId="0" xfId="0" applyNumberFormat="1"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0" fontId="5" fillId="5" borderId="11" xfId="0" applyFont="1" applyFill="1" applyBorder="1" applyAlignment="1" applyProtection="1">
      <alignment horizontal="left" vertical="center"/>
    </xf>
    <xf numFmtId="0" fontId="12"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5" fillId="5" borderId="23" xfId="0" applyFont="1" applyFill="1" applyBorder="1" applyProtection="1">
      <alignment vertical="center"/>
    </xf>
    <xf numFmtId="0" fontId="5" fillId="5" borderId="7" xfId="0" applyFont="1" applyFill="1" applyBorder="1" applyProtection="1">
      <alignment vertical="center"/>
    </xf>
    <xf numFmtId="0" fontId="49" fillId="5" borderId="0" xfId="0" applyFont="1" applyFill="1" applyBorder="1" applyAlignment="1" applyProtection="1">
      <alignment horizontal="center" vertical="center"/>
    </xf>
    <xf numFmtId="0" fontId="6" fillId="5" borderId="0" xfId="0" applyFont="1" applyFill="1" applyBorder="1" applyProtection="1">
      <alignment vertical="center"/>
    </xf>
    <xf numFmtId="178" fontId="5" fillId="5" borderId="0" xfId="0" applyNumberFormat="1" applyFont="1" applyFill="1" applyBorder="1" applyProtection="1">
      <alignment vertical="center"/>
    </xf>
    <xf numFmtId="178" fontId="5" fillId="5" borderId="11" xfId="0" applyNumberFormat="1" applyFont="1" applyFill="1" applyBorder="1" applyProtection="1">
      <alignment vertical="center"/>
    </xf>
    <xf numFmtId="178" fontId="6" fillId="5" borderId="0" xfId="0" applyNumberFormat="1" applyFont="1" applyFill="1" applyBorder="1" applyProtection="1">
      <alignment vertical="center"/>
    </xf>
    <xf numFmtId="184" fontId="5" fillId="5" borderId="0" xfId="0" applyNumberFormat="1" applyFont="1" applyFill="1" applyBorder="1" applyProtection="1">
      <alignment vertical="center"/>
    </xf>
    <xf numFmtId="0" fontId="7" fillId="5" borderId="0" xfId="0" applyFont="1" applyFill="1" applyBorder="1" applyProtection="1">
      <alignment vertical="center"/>
    </xf>
    <xf numFmtId="0" fontId="5" fillId="5" borderId="0" xfId="0" applyFont="1" applyFill="1" applyBorder="1" applyAlignment="1" applyProtection="1">
      <alignment horizontal="center"/>
    </xf>
    <xf numFmtId="178" fontId="5" fillId="5" borderId="0" xfId="0" applyNumberFormat="1" applyFont="1" applyFill="1" applyBorder="1" applyAlignment="1" applyProtection="1">
      <alignment horizontal="center"/>
    </xf>
    <xf numFmtId="0" fontId="5" fillId="5" borderId="0" xfId="0" applyFont="1" applyFill="1" applyBorder="1" applyAlignment="1" applyProtection="1">
      <alignment vertical="top" wrapText="1" shrinkToFit="1"/>
    </xf>
    <xf numFmtId="185" fontId="5" fillId="5" borderId="0" xfId="0" applyNumberFormat="1" applyFont="1" applyFill="1" applyBorder="1" applyAlignment="1" applyProtection="1">
      <alignment vertical="center"/>
    </xf>
    <xf numFmtId="0" fontId="63" fillId="5" borderId="24" xfId="0" applyFont="1" applyFill="1" applyBorder="1" applyProtection="1">
      <alignment vertical="center"/>
    </xf>
    <xf numFmtId="0" fontId="49" fillId="5" borderId="0" xfId="0" applyFont="1" applyFill="1" applyBorder="1" applyAlignment="1" applyProtection="1">
      <alignment horizontal="left" vertical="top" wrapText="1"/>
    </xf>
    <xf numFmtId="178" fontId="5" fillId="5" borderId="28" xfId="0" applyNumberFormat="1" applyFont="1" applyFill="1" applyBorder="1" applyProtection="1">
      <alignment vertical="center"/>
    </xf>
    <xf numFmtId="0" fontId="8" fillId="5" borderId="9" xfId="0" applyFont="1" applyFill="1" applyBorder="1" applyProtection="1">
      <alignment vertical="center"/>
    </xf>
    <xf numFmtId="0" fontId="32" fillId="5" borderId="0" xfId="0" applyFont="1" applyFill="1" applyBorder="1" applyProtection="1">
      <alignment vertical="center"/>
    </xf>
    <xf numFmtId="0" fontId="0" fillId="5" borderId="0" xfId="0" applyFill="1" applyBorder="1" applyAlignment="1" applyProtection="1">
      <alignment horizontal="left" vertical="top" wrapText="1"/>
    </xf>
    <xf numFmtId="0" fontId="5" fillId="5" borderId="0" xfId="0" applyFont="1" applyFill="1" applyBorder="1" applyAlignment="1" applyProtection="1">
      <alignment horizontal="center" vertical="center" wrapText="1"/>
    </xf>
    <xf numFmtId="0" fontId="49" fillId="5" borderId="0" xfId="0" applyFont="1" applyFill="1" applyBorder="1" applyAlignment="1" applyProtection="1">
      <alignment horizontal="right"/>
    </xf>
    <xf numFmtId="0" fontId="39" fillId="5" borderId="0" xfId="0" applyFont="1" applyFill="1" applyBorder="1" applyAlignment="1" applyProtection="1">
      <alignment horizontal="right" vertical="center" shrinkToFit="1"/>
    </xf>
    <xf numFmtId="0" fontId="15" fillId="5" borderId="0" xfId="0" applyFont="1" applyFill="1" applyBorder="1" applyAlignment="1" applyProtection="1">
      <alignment horizontal="right" vertical="center" shrinkToFit="1"/>
    </xf>
    <xf numFmtId="179" fontId="12" fillId="5" borderId="0" xfId="0" applyNumberFormat="1" applyFont="1" applyFill="1" applyBorder="1" applyAlignment="1" applyProtection="1">
      <alignment horizontal="center" vertical="center"/>
    </xf>
    <xf numFmtId="0" fontId="17" fillId="5" borderId="0" xfId="0" applyFont="1" applyFill="1" applyBorder="1" applyProtection="1">
      <alignment vertical="center"/>
    </xf>
    <xf numFmtId="0" fontId="21" fillId="5" borderId="0" xfId="0" applyFont="1" applyFill="1" applyBorder="1" applyProtection="1">
      <alignment vertical="center"/>
    </xf>
    <xf numFmtId="0" fontId="47" fillId="5" borderId="0" xfId="0" applyFont="1" applyFill="1" applyBorder="1" applyAlignment="1" applyProtection="1">
      <alignment horizontal="right"/>
    </xf>
    <xf numFmtId="180" fontId="5" fillId="5" borderId="0" xfId="0" applyNumberFormat="1" applyFont="1" applyFill="1" applyBorder="1" applyAlignment="1" applyProtection="1">
      <alignment horizontal="left" vertical="top"/>
    </xf>
    <xf numFmtId="182" fontId="5" fillId="5" borderId="0" xfId="0" applyNumberFormat="1" applyFont="1" applyFill="1" applyBorder="1" applyAlignment="1" applyProtection="1">
      <alignment horizontal="center" vertical="center"/>
    </xf>
    <xf numFmtId="0" fontId="7" fillId="5" borderId="11" xfId="0" applyFont="1" applyFill="1" applyBorder="1" applyProtection="1">
      <alignment vertical="center"/>
    </xf>
    <xf numFmtId="0" fontId="5" fillId="5" borderId="9" xfId="0" applyFont="1" applyFill="1" applyBorder="1" applyAlignment="1" applyProtection="1">
      <alignment horizontal="justify" vertical="justify" wrapText="1"/>
    </xf>
    <xf numFmtId="0" fontId="10" fillId="5" borderId="9" xfId="0" applyFont="1" applyFill="1" applyBorder="1" applyAlignment="1" applyProtection="1">
      <alignment vertical="center" shrinkToFit="1"/>
    </xf>
    <xf numFmtId="0" fontId="17" fillId="5" borderId="11" xfId="0" applyFont="1" applyFill="1" applyBorder="1" applyAlignment="1" applyProtection="1">
      <alignment horizontal="right" vertical="center"/>
    </xf>
    <xf numFmtId="180" fontId="5" fillId="5" borderId="11" xfId="0" applyNumberFormat="1" applyFont="1" applyFill="1" applyBorder="1" applyAlignment="1" applyProtection="1">
      <alignment horizontal="center" vertical="center"/>
    </xf>
    <xf numFmtId="0" fontId="8" fillId="5" borderId="11" xfId="0" applyFont="1" applyFill="1" applyBorder="1" applyProtection="1">
      <alignment vertical="center"/>
    </xf>
    <xf numFmtId="0" fontId="8" fillId="5" borderId="12" xfId="0" applyFont="1" applyFill="1" applyBorder="1" applyAlignment="1" applyProtection="1">
      <alignment vertical="center" shrinkToFit="1"/>
    </xf>
    <xf numFmtId="0" fontId="5" fillId="5" borderId="11" xfId="0" applyFont="1" applyFill="1" applyBorder="1" applyAlignment="1" applyProtection="1">
      <alignment vertical="center"/>
    </xf>
    <xf numFmtId="0" fontId="8" fillId="5" borderId="11" xfId="0" applyFont="1" applyFill="1" applyBorder="1" applyAlignment="1" applyProtection="1">
      <alignment vertical="center" shrinkToFit="1"/>
    </xf>
    <xf numFmtId="0" fontId="15" fillId="5" borderId="11" xfId="0" applyFont="1" applyFill="1" applyBorder="1" applyAlignment="1" applyProtection="1">
      <alignment horizontal="right" vertical="center"/>
    </xf>
    <xf numFmtId="178" fontId="12" fillId="5" borderId="11" xfId="0" applyNumberFormat="1" applyFont="1" applyFill="1" applyBorder="1" applyAlignment="1" applyProtection="1">
      <alignment horizontal="center" vertical="center"/>
    </xf>
    <xf numFmtId="0" fontId="0" fillId="5" borderId="12" xfId="0" applyFill="1" applyBorder="1" applyAlignment="1" applyProtection="1">
      <alignment vertical="center"/>
    </xf>
    <xf numFmtId="0" fontId="5" fillId="5" borderId="11" xfId="0" applyFont="1" applyFill="1" applyBorder="1" applyAlignment="1" applyProtection="1">
      <alignment vertical="top" wrapText="1"/>
    </xf>
    <xf numFmtId="0" fontId="5" fillId="5" borderId="11" xfId="0" applyFont="1" applyFill="1" applyBorder="1" applyAlignment="1" applyProtection="1">
      <alignment horizontal="left" vertical="top" wrapText="1"/>
    </xf>
    <xf numFmtId="0" fontId="6" fillId="5" borderId="11" xfId="0" applyFont="1" applyFill="1" applyBorder="1" applyAlignment="1" applyProtection="1">
      <alignment horizontal="left" vertical="center"/>
    </xf>
    <xf numFmtId="0" fontId="5" fillId="5" borderId="11" xfId="0" applyFont="1" applyFill="1" applyBorder="1" applyAlignment="1" applyProtection="1">
      <alignment horizontal="right" vertical="center"/>
    </xf>
    <xf numFmtId="187" fontId="5" fillId="5" borderId="11" xfId="0" applyNumberFormat="1" applyFont="1" applyFill="1" applyBorder="1" applyAlignment="1" applyProtection="1">
      <alignment horizontal="right" vertical="center"/>
    </xf>
    <xf numFmtId="0" fontId="0" fillId="5" borderId="12" xfId="0" applyFill="1" applyBorder="1" applyAlignment="1" applyProtection="1">
      <alignment vertical="center" shrinkToFit="1"/>
    </xf>
    <xf numFmtId="195" fontId="10" fillId="5" borderId="74" xfId="0" applyNumberFormat="1" applyFont="1" applyFill="1" applyBorder="1" applyAlignment="1" applyProtection="1">
      <alignment horizontal="right" vertical="center" wrapText="1"/>
    </xf>
    <xf numFmtId="196" fontId="10" fillId="5" borderId="76" xfId="0" applyNumberFormat="1" applyFont="1" applyFill="1" applyBorder="1" applyAlignment="1" applyProtection="1">
      <alignment horizontal="left" vertical="center" wrapText="1"/>
    </xf>
    <xf numFmtId="196" fontId="5" fillId="5" borderId="0" xfId="1" applyNumberFormat="1" applyFont="1" applyFill="1" applyBorder="1" applyAlignment="1" applyProtection="1">
      <alignment horizontal="left" vertical="center"/>
    </xf>
    <xf numFmtId="0" fontId="5" fillId="5" borderId="28" xfId="0" applyFont="1" applyFill="1" applyBorder="1" applyProtection="1">
      <alignment vertical="center"/>
    </xf>
    <xf numFmtId="0" fontId="8" fillId="5" borderId="28" xfId="0" applyFont="1" applyFill="1" applyBorder="1" applyAlignment="1" applyProtection="1">
      <alignment horizontal="center" vertical="center" shrinkToFit="1"/>
    </xf>
    <xf numFmtId="178" fontId="10" fillId="0" borderId="39" xfId="0" applyNumberFormat="1" applyFont="1" applyBorder="1" applyAlignment="1" applyProtection="1">
      <alignment vertical="center" wrapText="1"/>
    </xf>
    <xf numFmtId="179" fontId="5" fillId="0" borderId="33" xfId="0" applyNumberFormat="1" applyFont="1" applyBorder="1" applyAlignment="1" applyProtection="1">
      <alignment vertical="center"/>
    </xf>
    <xf numFmtId="178" fontId="5" fillId="0" borderId="39" xfId="0" applyNumberFormat="1" applyFont="1" applyBorder="1" applyProtection="1">
      <alignment vertical="center"/>
    </xf>
    <xf numFmtId="0" fontId="5" fillId="0" borderId="39" xfId="0" applyFont="1" applyBorder="1" applyProtection="1">
      <alignment vertical="center"/>
    </xf>
    <xf numFmtId="0" fontId="5" fillId="0" borderId="33" xfId="0" applyFont="1" applyBorder="1" applyProtection="1">
      <alignment vertical="center"/>
    </xf>
    <xf numFmtId="0" fontId="5" fillId="5" borderId="28" xfId="0" applyFont="1" applyFill="1" applyBorder="1" applyAlignment="1" applyProtection="1">
      <alignment vertical="center"/>
    </xf>
    <xf numFmtId="0" fontId="17" fillId="5" borderId="28" xfId="0" applyFont="1" applyFill="1" applyBorder="1" applyAlignment="1" applyProtection="1">
      <alignment horizontal="right" vertical="center"/>
    </xf>
    <xf numFmtId="0" fontId="8" fillId="5" borderId="28" xfId="0" applyFont="1" applyFill="1" applyBorder="1" applyAlignment="1" applyProtection="1">
      <alignment vertical="center" shrinkToFit="1"/>
    </xf>
    <xf numFmtId="0" fontId="8" fillId="5" borderId="28" xfId="0" applyFont="1" applyFill="1" applyBorder="1" applyProtection="1">
      <alignment vertical="center"/>
    </xf>
    <xf numFmtId="0" fontId="5" fillId="5" borderId="28" xfId="0" applyFont="1" applyFill="1" applyBorder="1" applyAlignment="1" applyProtection="1">
      <alignment horizontal="left" vertical="top" wrapText="1"/>
    </xf>
    <xf numFmtId="0" fontId="5" fillId="5" borderId="28" xfId="0" applyFont="1" applyFill="1" applyBorder="1" applyAlignment="1" applyProtection="1">
      <alignment vertical="top" wrapText="1"/>
    </xf>
    <xf numFmtId="0" fontId="6" fillId="5" borderId="28" xfId="0" applyFont="1" applyFill="1" applyBorder="1" applyAlignment="1" applyProtection="1">
      <alignment horizontal="left" vertical="center"/>
    </xf>
    <xf numFmtId="0" fontId="5" fillId="5" borderId="28" xfId="0" applyFont="1" applyFill="1" applyBorder="1" applyAlignment="1" applyProtection="1">
      <alignment horizontal="right" vertical="center"/>
    </xf>
    <xf numFmtId="187" fontId="5" fillId="5" borderId="28" xfId="0" applyNumberFormat="1" applyFont="1" applyFill="1" applyBorder="1" applyAlignment="1" applyProtection="1">
      <alignment horizontal="right" vertical="center"/>
    </xf>
    <xf numFmtId="0" fontId="0" fillId="5" borderId="28" xfId="0" applyFill="1" applyBorder="1" applyAlignment="1" applyProtection="1">
      <alignment vertical="center" shrinkToFit="1"/>
    </xf>
    <xf numFmtId="0" fontId="5" fillId="0" borderId="44" xfId="0" applyFont="1" applyBorder="1" applyProtection="1">
      <alignment vertical="center"/>
    </xf>
    <xf numFmtId="0" fontId="5" fillId="0" borderId="45" xfId="0" applyFont="1" applyBorder="1" applyProtection="1">
      <alignment vertical="center"/>
    </xf>
    <xf numFmtId="0" fontId="5" fillId="0" borderId="30" xfId="0" applyFont="1" applyBorder="1" applyProtection="1">
      <alignment vertical="center"/>
    </xf>
    <xf numFmtId="0" fontId="8" fillId="0" borderId="44" xfId="0" applyFont="1" applyBorder="1" applyProtection="1">
      <alignment vertical="center"/>
    </xf>
    <xf numFmtId="0" fontId="8" fillId="0" borderId="45" xfId="0" applyFont="1" applyBorder="1" applyProtection="1">
      <alignment vertical="center"/>
    </xf>
    <xf numFmtId="0" fontId="8" fillId="0" borderId="30" xfId="0" applyFont="1" applyBorder="1" applyProtection="1">
      <alignment vertical="center"/>
    </xf>
    <xf numFmtId="0" fontId="5" fillId="5" borderId="68" xfId="0" applyFont="1" applyFill="1" applyBorder="1" applyAlignment="1" applyProtection="1">
      <alignment horizontal="center" vertical="center" wrapText="1"/>
    </xf>
    <xf numFmtId="0" fontId="0" fillId="5" borderId="6" xfId="0" applyFont="1" applyFill="1" applyBorder="1" applyAlignment="1" applyProtection="1">
      <alignment horizontal="left" vertical="center"/>
    </xf>
    <xf numFmtId="0" fontId="0" fillId="5" borderId="8" xfId="0" applyFont="1" applyFill="1" applyBorder="1" applyAlignment="1" applyProtection="1">
      <alignment vertical="center" wrapText="1"/>
    </xf>
    <xf numFmtId="0" fontId="0" fillId="5" borderId="0" xfId="0" applyFont="1" applyFill="1" applyBorder="1" applyAlignment="1" applyProtection="1">
      <alignment vertical="center" wrapText="1"/>
    </xf>
    <xf numFmtId="0" fontId="0" fillId="5" borderId="35" xfId="0" applyFont="1" applyFill="1" applyBorder="1" applyAlignment="1" applyProtection="1">
      <alignment vertical="center" wrapText="1"/>
    </xf>
    <xf numFmtId="0" fontId="0" fillId="5" borderId="31" xfId="0" applyFont="1" applyFill="1" applyBorder="1" applyAlignment="1" applyProtection="1">
      <alignment vertical="center" wrapText="1"/>
    </xf>
    <xf numFmtId="0" fontId="0" fillId="5" borderId="4" xfId="0" applyFont="1" applyFill="1" applyBorder="1" applyAlignment="1" applyProtection="1">
      <alignment vertical="center" wrapText="1"/>
    </xf>
    <xf numFmtId="0" fontId="0" fillId="5" borderId="47" xfId="0" applyFont="1" applyFill="1" applyBorder="1" applyAlignment="1" applyProtection="1">
      <alignment vertical="center" wrapText="1"/>
    </xf>
    <xf numFmtId="0" fontId="0" fillId="5" borderId="41" xfId="0" applyFont="1" applyFill="1" applyBorder="1" applyAlignment="1" applyProtection="1">
      <alignment vertical="center"/>
    </xf>
    <xf numFmtId="0" fontId="0" fillId="5" borderId="4" xfId="0" applyFont="1" applyFill="1" applyBorder="1" applyAlignment="1" applyProtection="1">
      <alignment vertical="center"/>
    </xf>
    <xf numFmtId="0" fontId="75" fillId="7" borderId="41" xfId="0" applyFont="1" applyFill="1" applyBorder="1" applyAlignment="1" applyProtection="1">
      <alignment horizontal="centerContinuous" vertical="center"/>
    </xf>
    <xf numFmtId="0" fontId="75" fillId="7" borderId="4" xfId="0" applyFont="1" applyFill="1" applyBorder="1" applyAlignment="1" applyProtection="1">
      <alignment horizontal="centerContinuous" vertical="center"/>
    </xf>
    <xf numFmtId="0" fontId="75" fillId="7" borderId="47" xfId="0" applyFont="1" applyFill="1" applyBorder="1" applyAlignment="1" applyProtection="1">
      <alignment horizontal="centerContinuous" vertical="center"/>
    </xf>
    <xf numFmtId="0" fontId="75" fillId="7" borderId="2" xfId="0" applyFont="1" applyFill="1" applyBorder="1" applyAlignment="1" applyProtection="1">
      <alignment horizontal="centerContinuous" vertical="center"/>
    </xf>
    <xf numFmtId="0" fontId="75" fillId="7" borderId="37" xfId="0" applyFont="1" applyFill="1" applyBorder="1" applyAlignment="1" applyProtection="1">
      <alignment horizontal="centerContinuous" vertical="center"/>
    </xf>
    <xf numFmtId="0" fontId="75" fillId="7" borderId="32" xfId="0" applyFont="1" applyFill="1" applyBorder="1" applyAlignment="1" applyProtection="1">
      <alignment horizontal="centerContinuous" vertical="center"/>
    </xf>
    <xf numFmtId="0" fontId="5" fillId="5" borderId="0" xfId="0" applyFont="1" applyFill="1" applyBorder="1" applyAlignment="1" applyProtection="1">
      <alignment horizontal="center" vertical="center" shrinkToFit="1"/>
    </xf>
    <xf numFmtId="178" fontId="12" fillId="0" borderId="6" xfId="0" applyNumberFormat="1" applyFont="1" applyBorder="1" applyAlignment="1" applyProtection="1">
      <alignment horizontal="center" vertical="center"/>
    </xf>
    <xf numFmtId="0" fontId="5" fillId="5" borderId="6" xfId="0" applyFont="1" applyFill="1" applyBorder="1" applyProtection="1">
      <alignment vertical="center"/>
    </xf>
    <xf numFmtId="0" fontId="0" fillId="0" borderId="0" xfId="0" applyAlignment="1" applyProtection="1">
      <alignment horizontal="right" vertical="center"/>
    </xf>
    <xf numFmtId="0" fontId="5" fillId="5" borderId="0" xfId="0" applyFont="1" applyFill="1" applyBorder="1" applyAlignment="1" applyProtection="1">
      <alignment horizontal="right" vertical="center" shrinkToFit="1"/>
    </xf>
    <xf numFmtId="0" fontId="5" fillId="5" borderId="79" xfId="0" applyFont="1" applyFill="1" applyBorder="1" applyAlignment="1" applyProtection="1">
      <alignment horizontal="center" vertical="center" wrapText="1"/>
    </xf>
    <xf numFmtId="0" fontId="5" fillId="5" borderId="0" xfId="0" applyFont="1" applyFill="1" applyBorder="1" applyAlignment="1" applyProtection="1">
      <alignment vertical="top" shrinkToFit="1"/>
    </xf>
    <xf numFmtId="0" fontId="5" fillId="5" borderId="0" xfId="0" applyFont="1" applyFill="1" applyBorder="1" applyAlignment="1" applyProtection="1">
      <alignment shrinkToFit="1"/>
    </xf>
    <xf numFmtId="0" fontId="5" fillId="5" borderId="0" xfId="0" applyFont="1" applyFill="1" applyBorder="1" applyAlignment="1" applyProtection="1"/>
    <xf numFmtId="0" fontId="5" fillId="0" borderId="80" xfId="0" applyFont="1" applyBorder="1" applyAlignment="1" applyProtection="1">
      <alignment horizontal="center" vertical="center" shrinkToFit="1"/>
    </xf>
    <xf numFmtId="179" fontId="5" fillId="4" borderId="17" xfId="0" applyNumberFormat="1" applyFont="1" applyFill="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xf>
    <xf numFmtId="179" fontId="5" fillId="2" borderId="13" xfId="0" applyNumberFormat="1" applyFont="1" applyFill="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xf>
    <xf numFmtId="179" fontId="5" fillId="2" borderId="14" xfId="0" applyNumberFormat="1" applyFont="1" applyFill="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xf>
    <xf numFmtId="0" fontId="5" fillId="4" borderId="33" xfId="0" applyFont="1" applyFill="1" applyBorder="1" applyAlignment="1" applyProtection="1">
      <alignment horizontal="center" vertical="center" shrinkToFit="1"/>
      <protection locked="0"/>
    </xf>
    <xf numFmtId="0" fontId="8" fillId="0" borderId="31" xfId="0" applyFont="1" applyBorder="1" applyAlignment="1" applyProtection="1">
      <alignment vertical="center" shrinkToFit="1"/>
    </xf>
    <xf numFmtId="179" fontId="14" fillId="4" borderId="36" xfId="0" applyNumberFormat="1" applyFont="1" applyFill="1" applyBorder="1" applyAlignment="1" applyProtection="1">
      <alignment vertical="center" shrinkToFit="1"/>
      <protection locked="0"/>
    </xf>
    <xf numFmtId="179" fontId="5" fillId="4" borderId="36" xfId="0" applyNumberFormat="1" applyFont="1" applyFill="1" applyBorder="1" applyAlignment="1" applyProtection="1">
      <alignment vertical="center" shrinkToFit="1"/>
      <protection locked="0"/>
    </xf>
    <xf numFmtId="0" fontId="8" fillId="0" borderId="32" xfId="0" applyFont="1" applyBorder="1" applyAlignment="1" applyProtection="1">
      <alignment vertical="center" shrinkToFit="1"/>
    </xf>
    <xf numFmtId="0" fontId="5" fillId="5" borderId="68" xfId="0" applyFont="1" applyFill="1" applyBorder="1" applyAlignment="1" applyProtection="1">
      <alignment horizontal="center" vertical="center" shrinkToFit="1"/>
    </xf>
    <xf numFmtId="0" fontId="5" fillId="0" borderId="19" xfId="0" applyFont="1" applyBorder="1" applyAlignment="1" applyProtection="1">
      <alignment horizontal="center" vertical="center" shrinkToFit="1"/>
    </xf>
    <xf numFmtId="176" fontId="65" fillId="0" borderId="38" xfId="2" applyNumberFormat="1" applyFont="1" applyFill="1" applyBorder="1" applyAlignment="1" applyProtection="1">
      <alignment vertical="center" shrinkToFit="1"/>
      <protection locked="0"/>
    </xf>
    <xf numFmtId="178" fontId="65" fillId="0" borderId="38" xfId="2" applyNumberFormat="1" applyFont="1" applyFill="1" applyBorder="1" applyAlignment="1" applyProtection="1">
      <alignment horizontal="right" vertical="center" shrinkToFit="1"/>
      <protection locked="0"/>
    </xf>
    <xf numFmtId="180" fontId="65" fillId="0" borderId="38" xfId="2" applyNumberFormat="1" applyFont="1" applyFill="1" applyBorder="1" applyAlignment="1" applyProtection="1">
      <alignment horizontal="right" vertical="center" shrinkToFit="1"/>
      <protection locked="0"/>
    </xf>
    <xf numFmtId="179" fontId="65" fillId="0" borderId="38" xfId="2" applyNumberFormat="1" applyFont="1" applyFill="1" applyBorder="1" applyAlignment="1" applyProtection="1">
      <alignment horizontal="right" vertical="center" shrinkToFit="1"/>
      <protection locked="0"/>
    </xf>
    <xf numFmtId="176" fontId="65" fillId="0" borderId="38" xfId="2" applyNumberFormat="1" applyFont="1" applyFill="1" applyBorder="1" applyAlignment="1" applyProtection="1">
      <alignment horizontal="right" vertical="center" shrinkToFit="1"/>
      <protection locked="0"/>
    </xf>
    <xf numFmtId="178" fontId="5" fillId="5" borderId="38" xfId="0" applyNumberFormat="1" applyFont="1" applyFill="1" applyBorder="1" applyAlignment="1" applyProtection="1">
      <alignment horizontal="right" vertical="center" shrinkToFit="1"/>
    </xf>
    <xf numFmtId="194" fontId="5" fillId="0" borderId="25" xfId="1" applyNumberFormat="1" applyFont="1" applyBorder="1" applyAlignment="1" applyProtection="1">
      <alignment horizontal="center" vertical="center" shrinkToFit="1"/>
    </xf>
    <xf numFmtId="189" fontId="5" fillId="0" borderId="25" xfId="1" applyNumberFormat="1" applyFont="1" applyBorder="1" applyAlignment="1" applyProtection="1">
      <alignment horizontal="center" vertical="center" shrinkToFit="1"/>
    </xf>
    <xf numFmtId="176" fontId="5" fillId="3" borderId="13" xfId="0" applyNumberFormat="1" applyFont="1" applyFill="1" applyBorder="1" applyAlignment="1" applyProtection="1">
      <alignment horizontal="right" vertical="center" shrinkToFit="1"/>
      <protection locked="0"/>
    </xf>
    <xf numFmtId="179" fontId="5" fillId="3" borderId="13" xfId="0" applyNumberFormat="1" applyFont="1" applyFill="1" applyBorder="1" applyAlignment="1" applyProtection="1">
      <alignment horizontal="right" vertical="center" shrinkToFit="1"/>
      <protection locked="0"/>
    </xf>
    <xf numFmtId="176" fontId="5" fillId="0" borderId="25" xfId="0" applyNumberFormat="1" applyFont="1" applyFill="1" applyBorder="1" applyAlignment="1" applyProtection="1">
      <alignment horizontal="right" vertical="center" shrinkToFit="1"/>
    </xf>
    <xf numFmtId="187" fontId="5" fillId="0" borderId="25" xfId="0" applyNumberFormat="1" applyFont="1" applyFill="1" applyBorder="1" applyAlignment="1" applyProtection="1">
      <alignment horizontal="right" vertical="center" shrinkToFit="1"/>
    </xf>
    <xf numFmtId="176" fontId="5" fillId="0" borderId="13" xfId="0" applyNumberFormat="1" applyFont="1" applyBorder="1" applyAlignment="1" applyProtection="1">
      <alignment horizontal="right" vertical="center" shrinkToFit="1"/>
    </xf>
    <xf numFmtId="176" fontId="65" fillId="4" borderId="13" xfId="2" applyNumberFormat="1" applyFont="1" applyFill="1" applyBorder="1" applyAlignment="1" applyProtection="1">
      <alignment vertical="center" shrinkToFit="1"/>
      <protection locked="0"/>
    </xf>
    <xf numFmtId="178" fontId="65" fillId="4" borderId="13" xfId="2" applyNumberFormat="1" applyFont="1" applyFill="1" applyBorder="1" applyAlignment="1" applyProtection="1">
      <alignment horizontal="right" vertical="center" shrinkToFit="1"/>
      <protection locked="0"/>
    </xf>
    <xf numFmtId="180" fontId="65" fillId="4" borderId="13" xfId="2" applyNumberFormat="1" applyFont="1" applyFill="1" applyBorder="1" applyAlignment="1" applyProtection="1">
      <alignment horizontal="right" vertical="center" shrinkToFit="1"/>
      <protection locked="0"/>
    </xf>
    <xf numFmtId="179" fontId="65" fillId="4" borderId="13" xfId="2" applyNumberFormat="1" applyFont="1" applyFill="1" applyBorder="1" applyAlignment="1" applyProtection="1">
      <alignment horizontal="right" vertical="center" shrinkToFit="1"/>
      <protection locked="0"/>
    </xf>
    <xf numFmtId="176" fontId="65" fillId="4" borderId="13" xfId="2" applyNumberFormat="1" applyFont="1" applyFill="1" applyBorder="1" applyAlignment="1" applyProtection="1">
      <alignment horizontal="right" vertical="center" shrinkToFit="1"/>
      <protection locked="0"/>
    </xf>
    <xf numFmtId="178" fontId="5" fillId="0" borderId="13" xfId="0" applyNumberFormat="1" applyFont="1" applyFill="1" applyBorder="1" applyAlignment="1" applyProtection="1">
      <alignment horizontal="right" vertical="center" shrinkToFit="1"/>
    </xf>
    <xf numFmtId="176" fontId="5" fillId="3" borderId="13" xfId="0" applyNumberFormat="1" applyFont="1" applyFill="1" applyBorder="1" applyAlignment="1" applyProtection="1">
      <alignment vertical="center" shrinkToFit="1"/>
      <protection locked="0"/>
    </xf>
    <xf numFmtId="183" fontId="5" fillId="3" borderId="13" xfId="0" applyNumberFormat="1" applyFont="1" applyFill="1" applyBorder="1" applyAlignment="1" applyProtection="1">
      <alignment vertical="center" shrinkToFit="1"/>
      <protection locked="0"/>
    </xf>
    <xf numFmtId="176" fontId="5" fillId="0" borderId="25" xfId="0" applyNumberFormat="1" applyFont="1" applyBorder="1" applyAlignment="1" applyProtection="1">
      <alignment vertical="center" shrinkToFit="1"/>
    </xf>
    <xf numFmtId="180" fontId="5" fillId="0" borderId="13" xfId="0" applyNumberFormat="1" applyFont="1" applyFill="1" applyBorder="1" applyAlignment="1" applyProtection="1">
      <alignment vertical="center" shrinkToFit="1"/>
    </xf>
    <xf numFmtId="180" fontId="5" fillId="4" borderId="13" xfId="0" applyNumberFormat="1" applyFont="1" applyFill="1" applyBorder="1" applyAlignment="1" applyProtection="1">
      <alignment vertical="center" shrinkToFit="1"/>
      <protection locked="0"/>
    </xf>
    <xf numFmtId="180" fontId="5" fillId="5" borderId="0" xfId="0" applyNumberFormat="1" applyFont="1" applyFill="1" applyBorder="1" applyAlignment="1" applyProtection="1">
      <alignment vertical="center" shrinkToFit="1"/>
    </xf>
    <xf numFmtId="180" fontId="5" fillId="3" borderId="13" xfId="0" applyNumberFormat="1" applyFont="1" applyFill="1" applyBorder="1" applyAlignment="1" applyProtection="1">
      <alignment vertical="center" shrinkToFit="1"/>
      <protection locked="0"/>
    </xf>
    <xf numFmtId="176" fontId="5" fillId="5" borderId="0" xfId="0" applyNumberFormat="1" applyFont="1" applyFill="1" applyBorder="1" applyAlignment="1" applyProtection="1">
      <alignment vertical="center" shrinkToFit="1"/>
    </xf>
    <xf numFmtId="179" fontId="5" fillId="5" borderId="25" xfId="0" applyNumberFormat="1" applyFont="1" applyFill="1" applyBorder="1" applyAlignment="1" applyProtection="1">
      <alignment horizontal="right" vertical="center" shrinkToFit="1"/>
    </xf>
    <xf numFmtId="180" fontId="5" fillId="5" borderId="25" xfId="0" applyNumberFormat="1" applyFont="1" applyFill="1" applyBorder="1" applyAlignment="1" applyProtection="1">
      <alignment vertical="center" shrinkToFit="1"/>
    </xf>
    <xf numFmtId="180" fontId="5" fillId="5" borderId="25" xfId="0" applyNumberFormat="1" applyFont="1" applyFill="1" applyBorder="1" applyAlignment="1" applyProtection="1">
      <alignment horizontal="right" vertical="center" shrinkToFit="1"/>
    </xf>
    <xf numFmtId="178" fontId="14" fillId="0" borderId="25" xfId="0" applyNumberFormat="1" applyFont="1" applyFill="1" applyBorder="1" applyAlignment="1" applyProtection="1">
      <alignment horizontal="right" vertical="center" shrinkToFit="1"/>
    </xf>
    <xf numFmtId="177" fontId="5" fillId="3" borderId="13" xfId="0" applyNumberFormat="1" applyFont="1" applyFill="1" applyBorder="1" applyAlignment="1" applyProtection="1">
      <alignment vertical="center" shrinkToFit="1"/>
      <protection locked="0"/>
    </xf>
    <xf numFmtId="178" fontId="5" fillId="0" borderId="13" xfId="0" applyNumberFormat="1" applyFont="1" applyBorder="1" applyAlignment="1" applyProtection="1">
      <alignment vertical="center" shrinkToFit="1"/>
    </xf>
    <xf numFmtId="179" fontId="5" fillId="0" borderId="13" xfId="0" applyNumberFormat="1" applyFont="1" applyBorder="1" applyAlignment="1" applyProtection="1">
      <alignment vertical="center" shrinkToFit="1"/>
    </xf>
    <xf numFmtId="179" fontId="5" fillId="0" borderId="13" xfId="0" applyNumberFormat="1" applyFont="1" applyFill="1" applyBorder="1" applyAlignment="1" applyProtection="1">
      <alignment vertical="center" shrinkToFit="1"/>
    </xf>
    <xf numFmtId="178" fontId="5" fillId="0" borderId="25" xfId="0" applyNumberFormat="1" applyFont="1" applyFill="1" applyBorder="1" applyAlignment="1" applyProtection="1">
      <alignment vertical="center" shrinkToFit="1"/>
    </xf>
    <xf numFmtId="187" fontId="5" fillId="5" borderId="25" xfId="0" applyNumberFormat="1" applyFont="1" applyFill="1" applyBorder="1" applyAlignment="1" applyProtection="1">
      <alignment horizontal="right" vertical="center" shrinkToFit="1"/>
    </xf>
    <xf numFmtId="0" fontId="5" fillId="5" borderId="13" xfId="0" applyFont="1" applyFill="1" applyBorder="1" applyAlignment="1" applyProtection="1">
      <alignment horizontal="center" vertical="center" shrinkToFit="1"/>
    </xf>
    <xf numFmtId="178" fontId="5" fillId="5" borderId="13" xfId="0" applyNumberFormat="1" applyFont="1" applyFill="1" applyBorder="1" applyAlignment="1" applyProtection="1">
      <alignment vertical="center" shrinkToFit="1"/>
    </xf>
    <xf numFmtId="179" fontId="5" fillId="5" borderId="13" xfId="0" applyNumberFormat="1" applyFont="1" applyFill="1" applyBorder="1" applyAlignment="1" applyProtection="1">
      <alignment vertical="center" shrinkToFit="1"/>
    </xf>
    <xf numFmtId="178" fontId="5" fillId="5" borderId="25" xfId="0" applyNumberFormat="1" applyFont="1" applyFill="1" applyBorder="1" applyAlignment="1" applyProtection="1">
      <alignment vertical="center" shrinkToFit="1"/>
    </xf>
    <xf numFmtId="179" fontId="5" fillId="3" borderId="13" xfId="0" applyNumberFormat="1" applyFont="1" applyFill="1" applyBorder="1" applyAlignment="1" applyProtection="1">
      <alignment vertical="center" shrinkToFit="1"/>
      <protection locked="0"/>
    </xf>
    <xf numFmtId="178" fontId="5" fillId="3" borderId="13" xfId="0" applyNumberFormat="1" applyFont="1" applyFill="1" applyBorder="1" applyAlignment="1" applyProtection="1">
      <alignment vertical="center" shrinkToFit="1"/>
      <protection locked="0"/>
    </xf>
    <xf numFmtId="198" fontId="5" fillId="0" borderId="13" xfId="2" applyNumberFormat="1" applyFont="1" applyBorder="1" applyAlignment="1" applyProtection="1">
      <alignment vertical="center" shrinkToFit="1"/>
    </xf>
    <xf numFmtId="180" fontId="5" fillId="0" borderId="13" xfId="0" applyNumberFormat="1" applyFont="1" applyBorder="1" applyAlignment="1" applyProtection="1">
      <alignment vertical="center" shrinkToFit="1"/>
    </xf>
    <xf numFmtId="197" fontId="5" fillId="0" borderId="13" xfId="2" applyNumberFormat="1" applyFont="1" applyBorder="1" applyAlignment="1" applyProtection="1">
      <alignment vertical="center" shrinkToFit="1"/>
    </xf>
    <xf numFmtId="0" fontId="0" fillId="5" borderId="0" xfId="0" applyFill="1" applyBorder="1" applyAlignment="1" applyProtection="1">
      <alignment vertical="center" shrinkToFit="1"/>
    </xf>
    <xf numFmtId="180" fontId="5" fillId="5" borderId="13" xfId="0" applyNumberFormat="1" applyFont="1" applyFill="1" applyBorder="1" applyAlignment="1" applyProtection="1">
      <alignment vertical="center" shrinkToFit="1"/>
    </xf>
    <xf numFmtId="178" fontId="5" fillId="5" borderId="13" xfId="0" applyNumberFormat="1" applyFont="1" applyFill="1" applyBorder="1" applyAlignment="1" applyProtection="1">
      <alignment horizontal="right" vertical="center" shrinkToFit="1"/>
    </xf>
    <xf numFmtId="187" fontId="5" fillId="0" borderId="25" xfId="0" applyNumberFormat="1" applyFont="1" applyBorder="1" applyAlignment="1" applyProtection="1">
      <alignment horizontal="right" vertical="center" shrinkToFit="1"/>
    </xf>
    <xf numFmtId="179" fontId="12" fillId="5" borderId="13" xfId="0" applyNumberFormat="1" applyFont="1" applyFill="1" applyBorder="1" applyAlignment="1" applyProtection="1">
      <alignment horizontal="right" vertical="center" shrinkToFit="1"/>
    </xf>
    <xf numFmtId="179" fontId="12" fillId="5" borderId="25" xfId="0" applyNumberFormat="1" applyFont="1" applyFill="1" applyBorder="1" applyAlignment="1" applyProtection="1">
      <alignment horizontal="right" vertical="center" shrinkToFit="1"/>
    </xf>
    <xf numFmtId="176" fontId="5" fillId="0" borderId="25" xfId="0" applyNumberFormat="1" applyFont="1" applyBorder="1" applyAlignment="1" applyProtection="1">
      <alignment horizontal="right" vertical="center" shrinkToFit="1"/>
    </xf>
    <xf numFmtId="176" fontId="12" fillId="0" borderId="25" xfId="0" applyNumberFormat="1" applyFont="1" applyFill="1" applyBorder="1" applyAlignment="1" applyProtection="1">
      <alignment horizontal="right" vertical="center" shrinkToFit="1"/>
    </xf>
    <xf numFmtId="180" fontId="12" fillId="5" borderId="25" xfId="0" applyNumberFormat="1" applyFont="1" applyFill="1" applyBorder="1" applyAlignment="1" applyProtection="1">
      <alignment horizontal="right" vertical="center" shrinkToFit="1"/>
    </xf>
    <xf numFmtId="185" fontId="5" fillId="2" borderId="18" xfId="0" applyNumberFormat="1" applyFont="1" applyFill="1" applyBorder="1" applyAlignment="1" applyProtection="1">
      <alignment horizontal="center" vertical="center" shrinkToFit="1"/>
      <protection locked="0"/>
    </xf>
    <xf numFmtId="185" fontId="5" fillId="2" borderId="14" xfId="0" applyNumberFormat="1" applyFont="1" applyFill="1" applyBorder="1" applyAlignment="1" applyProtection="1">
      <alignment horizontal="center" vertical="center" shrinkToFit="1"/>
      <protection locked="0"/>
    </xf>
    <xf numFmtId="178" fontId="12" fillId="0" borderId="26" xfId="0" applyNumberFormat="1" applyFont="1" applyBorder="1" applyAlignment="1" applyProtection="1">
      <alignment horizontal="right" vertical="center" shrinkToFit="1"/>
    </xf>
    <xf numFmtId="178" fontId="12" fillId="5" borderId="25" xfId="0" applyNumberFormat="1" applyFont="1" applyFill="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8" fontId="12" fillId="5" borderId="26" xfId="0" applyNumberFormat="1" applyFont="1" applyFill="1" applyBorder="1" applyAlignment="1" applyProtection="1">
      <alignment horizontal="right" vertical="center" shrinkToFit="1"/>
    </xf>
    <xf numFmtId="0" fontId="75" fillId="7" borderId="37" xfId="0" applyFont="1" applyFill="1" applyBorder="1" applyAlignment="1" applyProtection="1">
      <alignment horizontal="right" vertical="center" shrinkToFit="1"/>
    </xf>
    <xf numFmtId="0" fontId="0" fillId="5" borderId="4" xfId="0" applyFont="1" applyFill="1" applyBorder="1" applyAlignment="1" applyProtection="1">
      <alignment horizontal="right" vertical="center" shrinkToFit="1"/>
    </xf>
    <xf numFmtId="0" fontId="75" fillId="7" borderId="4" xfId="0" applyFont="1" applyFill="1" applyBorder="1" applyAlignment="1" applyProtection="1">
      <alignment horizontal="right" vertical="center" shrinkToFit="1"/>
    </xf>
    <xf numFmtId="178" fontId="5" fillId="3" borderId="13" xfId="0" applyNumberFormat="1" applyFont="1" applyFill="1" applyBorder="1" applyAlignment="1" applyProtection="1">
      <alignment horizontal="right" vertical="center" shrinkToFit="1"/>
      <protection locked="0"/>
    </xf>
    <xf numFmtId="0" fontId="3" fillId="0" borderId="13" xfId="0" applyFont="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10" fillId="0" borderId="13" xfId="0" applyFont="1" applyFill="1" applyBorder="1" applyAlignment="1" applyProtection="1">
      <alignment horizontal="center" vertical="center" wrapText="1" shrinkToFit="1"/>
    </xf>
    <xf numFmtId="180" fontId="5" fillId="2" borderId="2" xfId="0" applyNumberFormat="1" applyFont="1" applyFill="1" applyBorder="1" applyAlignment="1" applyProtection="1">
      <alignment vertical="center" shrinkToFit="1"/>
      <protection locked="0"/>
    </xf>
    <xf numFmtId="179" fontId="5" fillId="2" borderId="15" xfId="0" applyNumberFormat="1" applyFont="1" applyFill="1" applyBorder="1" applyAlignment="1" applyProtection="1">
      <alignment horizontal="center" vertical="center" shrinkToFit="1"/>
      <protection locked="0"/>
    </xf>
    <xf numFmtId="0" fontId="5" fillId="2" borderId="4" xfId="0" applyFont="1" applyFill="1" applyBorder="1" applyAlignment="1" applyProtection="1">
      <alignment horizontal="right" vertical="center" shrinkToFit="1"/>
      <protection locked="0"/>
    </xf>
    <xf numFmtId="38" fontId="5" fillId="5" borderId="0" xfId="2" applyFont="1" applyFill="1" applyBorder="1" applyAlignment="1" applyProtection="1">
      <alignment vertical="center"/>
    </xf>
    <xf numFmtId="188" fontId="5" fillId="3" borderId="36" xfId="0" applyNumberFormat="1"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183" fontId="6" fillId="0" borderId="13" xfId="0" applyNumberFormat="1" applyFont="1" applyBorder="1" applyAlignment="1" applyProtection="1">
      <alignment horizontal="right" vertical="center" shrinkToFit="1"/>
    </xf>
    <xf numFmtId="0" fontId="5" fillId="5" borderId="6" xfId="0" applyFont="1" applyFill="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5" fillId="0" borderId="21" xfId="0" applyFont="1" applyBorder="1" applyAlignment="1" applyProtection="1">
      <alignment horizontal="center" vertical="center" shrinkToFit="1"/>
    </xf>
    <xf numFmtId="0" fontId="0" fillId="5" borderId="0" xfId="0" applyFill="1" applyBorder="1" applyAlignment="1" applyProtection="1">
      <alignment horizontal="left" vertical="center"/>
    </xf>
    <xf numFmtId="0" fontId="8" fillId="0" borderId="13" xfId="0" applyFont="1" applyBorder="1" applyAlignment="1" applyProtection="1">
      <alignment horizontal="center" vertical="center" shrinkToFit="1"/>
    </xf>
    <xf numFmtId="0" fontId="8" fillId="5" borderId="0" xfId="0" applyFont="1" applyFill="1" applyBorder="1" applyAlignment="1" applyProtection="1">
      <alignment horizontal="center" vertical="center" shrinkToFit="1"/>
    </xf>
    <xf numFmtId="0" fontId="8" fillId="5" borderId="9" xfId="0" applyFont="1" applyFill="1" applyBorder="1" applyAlignment="1" applyProtection="1">
      <alignment horizontal="center" vertical="center" shrinkToFit="1"/>
    </xf>
    <xf numFmtId="0" fontId="5" fillId="5" borderId="0" xfId="0" applyFont="1" applyFill="1" applyBorder="1" applyAlignment="1" applyProtection="1">
      <alignment horizontal="left" vertical="top" wrapText="1"/>
    </xf>
    <xf numFmtId="0" fontId="29" fillId="5" borderId="0" xfId="0" applyFont="1" applyFill="1" applyBorder="1" applyAlignment="1" applyProtection="1">
      <alignment horizontal="left" vertical="center" shrinkToFit="1"/>
    </xf>
    <xf numFmtId="0" fontId="5" fillId="5" borderId="0" xfId="0" applyFont="1" applyFill="1" applyBorder="1" applyAlignment="1" applyProtection="1">
      <alignment vertical="center"/>
    </xf>
    <xf numFmtId="192" fontId="5" fillId="5" borderId="0" xfId="1" applyNumberFormat="1" applyFont="1" applyFill="1" applyBorder="1" applyAlignment="1" applyProtection="1">
      <alignment horizontal="center" vertical="center"/>
    </xf>
    <xf numFmtId="38" fontId="5" fillId="5" borderId="0" xfId="2" applyFont="1" applyFill="1" applyBorder="1" applyAlignment="1" applyProtection="1">
      <alignment horizontal="right" vertical="center" shrinkToFit="1"/>
    </xf>
    <xf numFmtId="0" fontId="4" fillId="5" borderId="0" xfId="0" applyFont="1" applyFill="1" applyBorder="1" applyAlignment="1" applyProtection="1">
      <alignment horizontal="left" vertical="center"/>
    </xf>
    <xf numFmtId="0" fontId="8" fillId="5" borderId="0" xfId="0" applyFont="1" applyFill="1" applyBorder="1" applyAlignment="1" applyProtection="1">
      <alignment horizontal="left" vertical="center" shrinkToFit="1"/>
    </xf>
    <xf numFmtId="0" fontId="5" fillId="5" borderId="0" xfId="0" applyFont="1" applyFill="1" applyBorder="1" applyAlignment="1" applyProtection="1">
      <alignment horizontal="left" vertical="center" shrinkToFit="1"/>
    </xf>
    <xf numFmtId="0" fontId="8" fillId="5" borderId="0" xfId="0" applyFont="1" applyFill="1" applyBorder="1" applyAlignment="1" applyProtection="1">
      <alignment vertical="center" shrinkToFit="1"/>
    </xf>
    <xf numFmtId="0" fontId="0" fillId="5" borderId="9" xfId="0" applyFill="1" applyBorder="1" applyAlignment="1" applyProtection="1">
      <alignment vertical="center" shrinkToFit="1"/>
    </xf>
    <xf numFmtId="0" fontId="5" fillId="5" borderId="0" xfId="0" applyFont="1" applyFill="1" applyBorder="1" applyAlignment="1" applyProtection="1">
      <alignment horizontal="left" vertical="center"/>
    </xf>
    <xf numFmtId="0" fontId="8" fillId="5" borderId="9" xfId="0" applyFont="1" applyFill="1" applyBorder="1" applyAlignment="1" applyProtection="1">
      <alignment vertical="center" shrinkToFit="1"/>
    </xf>
    <xf numFmtId="0" fontId="0" fillId="5" borderId="9" xfId="0" applyFill="1" applyBorder="1" applyAlignment="1" applyProtection="1">
      <alignment vertical="center"/>
    </xf>
    <xf numFmtId="0" fontId="8" fillId="5" borderId="0"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xf>
    <xf numFmtId="0" fontId="8" fillId="5" borderId="9" xfId="0" applyFont="1" applyFill="1" applyBorder="1" applyAlignment="1" applyProtection="1">
      <alignment horizontal="left" vertical="center"/>
    </xf>
    <xf numFmtId="31"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0" fillId="0" borderId="0" xfId="0" quotePrefix="1" applyProtection="1">
      <alignment vertical="center"/>
    </xf>
    <xf numFmtId="0" fontId="5" fillId="7" borderId="3" xfId="0" applyFont="1" applyFill="1" applyBorder="1" applyAlignment="1" applyProtection="1">
      <alignment horizontal="center" vertical="center"/>
    </xf>
    <xf numFmtId="49" fontId="65" fillId="5" borderId="9" xfId="2" applyNumberFormat="1" applyFont="1" applyFill="1" applyBorder="1" applyAlignment="1" applyProtection="1">
      <alignment vertical="justify" wrapText="1"/>
    </xf>
    <xf numFmtId="49" fontId="65" fillId="5" borderId="0" xfId="2" applyNumberFormat="1" applyFont="1" applyFill="1" applyBorder="1" applyAlignment="1" applyProtection="1">
      <alignment horizontal="justify" vertical="justify" wrapText="1"/>
    </xf>
    <xf numFmtId="49" fontId="65" fillId="5" borderId="0" xfId="2" applyNumberFormat="1" applyFont="1" applyFill="1" applyBorder="1" applyAlignment="1" applyProtection="1">
      <alignment horizontal="left" vertical="center" wrapText="1"/>
    </xf>
    <xf numFmtId="49" fontId="72" fillId="5" borderId="0" xfId="2" applyNumberFormat="1" applyFont="1" applyFill="1" applyBorder="1" applyAlignment="1" applyProtection="1">
      <alignment horizontal="left" vertical="center" wrapText="1"/>
    </xf>
    <xf numFmtId="0" fontId="4" fillId="5" borderId="0" xfId="0" applyFont="1" applyFill="1" applyBorder="1" applyAlignment="1" applyProtection="1">
      <alignment horizontal="center" vertical="center" shrinkToFit="1"/>
    </xf>
    <xf numFmtId="49" fontId="68" fillId="0" borderId="0" xfId="2" applyNumberFormat="1" applyFont="1" applyBorder="1" applyAlignment="1" applyProtection="1">
      <alignment horizontal="center" vertical="center" wrapText="1"/>
    </xf>
    <xf numFmtId="49" fontId="73" fillId="5" borderId="0" xfId="2" applyNumberFormat="1" applyFont="1" applyFill="1" applyBorder="1" applyAlignment="1" applyProtection="1">
      <alignment vertical="top"/>
    </xf>
    <xf numFmtId="49" fontId="74" fillId="5" borderId="0" xfId="2" applyNumberFormat="1" applyFont="1" applyFill="1" applyBorder="1" applyAlignment="1" applyProtection="1">
      <alignment vertical="top"/>
    </xf>
    <xf numFmtId="49" fontId="32" fillId="5" borderId="0" xfId="2" applyNumberFormat="1" applyFont="1" applyFill="1" applyBorder="1" applyAlignment="1" applyProtection="1">
      <alignment vertical="center" wrapText="1"/>
    </xf>
    <xf numFmtId="49" fontId="65" fillId="5" borderId="0" xfId="2" applyNumberFormat="1" applyFont="1" applyFill="1" applyBorder="1" applyAlignment="1" applyProtection="1">
      <alignment horizontal="left" vertical="center" shrinkToFit="1"/>
    </xf>
    <xf numFmtId="49" fontId="65" fillId="5" borderId="0" xfId="2" applyNumberFormat="1" applyFont="1" applyFill="1" applyBorder="1" applyAlignment="1" applyProtection="1">
      <alignment vertical="top" wrapText="1"/>
    </xf>
    <xf numFmtId="0" fontId="0" fillId="5" borderId="0" xfId="0" applyFill="1" applyBorder="1" applyAlignment="1" applyProtection="1">
      <alignment horizontal="left" vertical="center" wrapText="1"/>
    </xf>
    <xf numFmtId="49" fontId="5" fillId="5" borderId="0" xfId="2" applyNumberFormat="1" applyFont="1" applyFill="1" applyBorder="1" applyAlignment="1" applyProtection="1">
      <alignment vertical="top" wrapText="1"/>
    </xf>
    <xf numFmtId="176" fontId="65" fillId="0" borderId="38" xfId="2" applyNumberFormat="1" applyFont="1" applyFill="1" applyBorder="1" applyAlignment="1" applyProtection="1">
      <alignment horizontal="right" vertical="center" shrinkToFit="1"/>
    </xf>
    <xf numFmtId="49" fontId="5" fillId="5" borderId="0" xfId="2" applyNumberFormat="1" applyFont="1" applyFill="1" applyBorder="1" applyAlignment="1" applyProtection="1">
      <alignment vertical="center" wrapText="1"/>
    </xf>
    <xf numFmtId="49" fontId="5" fillId="5" borderId="0" xfId="2" applyNumberFormat="1" applyFont="1" applyFill="1" applyBorder="1" applyAlignment="1" applyProtection="1">
      <alignment horizontal="left" vertical="center" wrapText="1"/>
    </xf>
    <xf numFmtId="49" fontId="5" fillId="5" borderId="0" xfId="2" applyNumberFormat="1" applyFont="1" applyFill="1" applyBorder="1" applyAlignment="1" applyProtection="1">
      <alignment horizontal="right" vertical="center" wrapText="1"/>
    </xf>
    <xf numFmtId="49" fontId="5" fillId="0" borderId="0" xfId="2" applyNumberFormat="1" applyFont="1" applyBorder="1" applyAlignment="1" applyProtection="1">
      <alignment horizontal="right" vertical="center" shrinkToFit="1"/>
    </xf>
    <xf numFmtId="49" fontId="66" fillId="5" borderId="0" xfId="2" applyNumberFormat="1" applyFont="1" applyFill="1" applyBorder="1" applyAlignment="1" applyProtection="1">
      <alignment horizontal="left" vertical="center" wrapText="1"/>
    </xf>
    <xf numFmtId="0" fontId="0" fillId="5" borderId="0" xfId="0" applyFill="1" applyBorder="1" applyAlignment="1" applyProtection="1">
      <alignment vertical="center" wrapText="1"/>
    </xf>
    <xf numFmtId="49" fontId="68" fillId="5" borderId="0" xfId="2" applyNumberFormat="1" applyFont="1" applyFill="1" applyBorder="1" applyAlignment="1" applyProtection="1">
      <alignment horizontal="center" vertical="center" wrapText="1"/>
    </xf>
    <xf numFmtId="49" fontId="0" fillId="5" borderId="0" xfId="2" applyNumberFormat="1" applyFont="1" applyFill="1" applyBorder="1" applyAlignment="1" applyProtection="1">
      <alignment horizontal="left" vertical="top" wrapText="1"/>
    </xf>
    <xf numFmtId="49" fontId="65" fillId="5" borderId="11" xfId="2" applyNumberFormat="1" applyFont="1" applyFill="1" applyBorder="1" applyAlignment="1" applyProtection="1">
      <alignment horizontal="left" vertical="center" wrapText="1"/>
    </xf>
    <xf numFmtId="49" fontId="0" fillId="5" borderId="11" xfId="2" applyNumberFormat="1" applyFont="1" applyFill="1" applyBorder="1" applyAlignment="1" applyProtection="1">
      <alignment horizontal="left" vertical="top" wrapText="1"/>
    </xf>
    <xf numFmtId="49" fontId="65" fillId="5" borderId="28" xfId="2" applyNumberFormat="1" applyFont="1" applyFill="1" applyBorder="1" applyAlignment="1" applyProtection="1">
      <alignment horizontal="left" vertical="center" wrapText="1"/>
    </xf>
    <xf numFmtId="49" fontId="0" fillId="5" borderId="28" xfId="2" applyNumberFormat="1" applyFont="1" applyFill="1" applyBorder="1" applyAlignment="1" applyProtection="1">
      <alignment vertical="top" wrapText="1"/>
    </xf>
    <xf numFmtId="185" fontId="5" fillId="5" borderId="0" xfId="0" applyNumberFormat="1" applyFont="1" applyFill="1" applyBorder="1" applyAlignment="1" applyProtection="1">
      <alignment horizontal="center" vertical="center"/>
    </xf>
    <xf numFmtId="49" fontId="66" fillId="5" borderId="0" xfId="2" applyNumberFormat="1" applyFont="1" applyFill="1" applyBorder="1" applyAlignment="1" applyProtection="1">
      <alignment horizontal="left" vertical="center" shrinkToFit="1"/>
    </xf>
    <xf numFmtId="176" fontId="65" fillId="0" borderId="13" xfId="2" applyNumberFormat="1" applyFont="1" applyFill="1" applyBorder="1" applyAlignment="1" applyProtection="1">
      <alignment horizontal="right" vertical="center" shrinkToFit="1"/>
    </xf>
    <xf numFmtId="176" fontId="65" fillId="5" borderId="0" xfId="2" applyNumberFormat="1" applyFont="1" applyFill="1" applyBorder="1" applyAlignment="1" applyProtection="1">
      <alignment horizontal="right" vertical="center" wrapText="1"/>
    </xf>
    <xf numFmtId="49" fontId="5" fillId="5" borderId="11" xfId="2" applyNumberFormat="1" applyFont="1" applyFill="1" applyBorder="1" applyAlignment="1" applyProtection="1">
      <alignment horizontal="left" vertical="center" wrapText="1"/>
    </xf>
    <xf numFmtId="0" fontId="0" fillId="5" borderId="11" xfId="0" applyFill="1" applyBorder="1" applyAlignment="1" applyProtection="1">
      <alignment vertical="center" wrapText="1"/>
    </xf>
    <xf numFmtId="49" fontId="5" fillId="5" borderId="11" xfId="2" applyNumberFormat="1" applyFont="1" applyFill="1" applyBorder="1" applyAlignment="1" applyProtection="1">
      <alignment horizontal="right" vertical="center" wrapText="1"/>
    </xf>
    <xf numFmtId="176" fontId="65" fillId="5" borderId="11" xfId="2" applyNumberFormat="1" applyFont="1" applyFill="1" applyBorder="1" applyAlignment="1" applyProtection="1">
      <alignment horizontal="right" vertical="center" wrapText="1"/>
    </xf>
    <xf numFmtId="49" fontId="66" fillId="5" borderId="11" xfId="2" applyNumberFormat="1" applyFont="1" applyFill="1" applyBorder="1" applyAlignment="1" applyProtection="1">
      <alignment horizontal="left" vertical="center" wrapText="1"/>
    </xf>
    <xf numFmtId="49" fontId="5" fillId="5" borderId="28" xfId="2" applyNumberFormat="1" applyFont="1" applyFill="1" applyBorder="1" applyAlignment="1" applyProtection="1">
      <alignment horizontal="left" vertical="center" wrapText="1"/>
    </xf>
    <xf numFmtId="0" fontId="0" fillId="5" borderId="28" xfId="0" applyFill="1" applyBorder="1" applyAlignment="1" applyProtection="1">
      <alignment vertical="center" wrapText="1"/>
    </xf>
    <xf numFmtId="49" fontId="5" fillId="5" borderId="28" xfId="2" applyNumberFormat="1" applyFont="1" applyFill="1" applyBorder="1" applyAlignment="1" applyProtection="1">
      <alignment horizontal="right" vertical="center" wrapText="1"/>
    </xf>
    <xf numFmtId="176" fontId="65" fillId="5" borderId="28" xfId="2" applyNumberFormat="1" applyFont="1" applyFill="1" applyBorder="1" applyAlignment="1" applyProtection="1">
      <alignment horizontal="right" vertical="center" wrapText="1"/>
    </xf>
    <xf numFmtId="49" fontId="66" fillId="5" borderId="28" xfId="2" applyNumberFormat="1" applyFont="1" applyFill="1" applyBorder="1" applyAlignment="1" applyProtection="1">
      <alignment horizontal="left" vertical="center" wrapText="1"/>
    </xf>
    <xf numFmtId="178" fontId="65" fillId="5" borderId="0" xfId="2" applyNumberFormat="1" applyFont="1" applyFill="1" applyBorder="1" applyAlignment="1" applyProtection="1">
      <alignment horizontal="right" vertical="center" wrapText="1"/>
    </xf>
    <xf numFmtId="0" fontId="67" fillId="5" borderId="0" xfId="0" applyFont="1" applyFill="1" applyBorder="1" applyProtection="1">
      <alignment vertical="center"/>
    </xf>
    <xf numFmtId="49" fontId="5" fillId="5" borderId="0" xfId="2" applyNumberFormat="1" applyFont="1" applyFill="1" applyBorder="1" applyAlignment="1" applyProtection="1">
      <alignment vertical="top"/>
    </xf>
    <xf numFmtId="49" fontId="5" fillId="5" borderId="0" xfId="2" applyNumberFormat="1" applyFont="1" applyFill="1" applyBorder="1" applyAlignment="1" applyProtection="1">
      <alignment vertical="center"/>
    </xf>
    <xf numFmtId="0" fontId="5" fillId="5" borderId="43" xfId="0" applyFont="1" applyFill="1" applyBorder="1" applyAlignment="1" applyProtection="1">
      <alignment vertical="center"/>
    </xf>
    <xf numFmtId="178" fontId="14" fillId="5" borderId="0" xfId="0" applyNumberFormat="1" applyFont="1" applyFill="1" applyBorder="1" applyAlignment="1" applyProtection="1">
      <alignment vertical="center"/>
    </xf>
    <xf numFmtId="0" fontId="5" fillId="5" borderId="9" xfId="0" applyFont="1" applyFill="1" applyBorder="1" applyAlignment="1" applyProtection="1">
      <alignment horizontal="center" vertical="center"/>
    </xf>
    <xf numFmtId="0" fontId="0" fillId="5" borderId="0" xfId="0" applyFill="1" applyBorder="1" applyAlignment="1" applyProtection="1">
      <alignment horizontal="left" vertical="center" shrinkToFit="1"/>
    </xf>
    <xf numFmtId="0" fontId="0" fillId="5" borderId="9" xfId="0" applyFill="1" applyBorder="1" applyAlignment="1" applyProtection="1">
      <alignment horizontal="left" vertical="center" wrapText="1"/>
    </xf>
    <xf numFmtId="49" fontId="65" fillId="5" borderId="9" xfId="2" applyNumberFormat="1" applyFont="1" applyFill="1" applyBorder="1" applyAlignment="1" applyProtection="1">
      <alignment horizontal="left" vertical="center" wrapText="1"/>
    </xf>
    <xf numFmtId="176" fontId="65" fillId="0" borderId="0" xfId="2" applyNumberFormat="1" applyFont="1" applyFill="1" applyBorder="1" applyAlignment="1" applyProtection="1">
      <alignment horizontal="right" vertical="center" wrapText="1"/>
    </xf>
    <xf numFmtId="178" fontId="65" fillId="5" borderId="0" xfId="2" applyNumberFormat="1" applyFont="1" applyFill="1" applyBorder="1" applyAlignment="1" applyProtection="1">
      <alignment horizontal="right" vertical="center" shrinkToFit="1"/>
    </xf>
    <xf numFmtId="0" fontId="67" fillId="5" borderId="9" xfId="0" applyFont="1" applyFill="1" applyBorder="1" applyProtection="1">
      <alignment vertical="center"/>
    </xf>
    <xf numFmtId="177" fontId="5" fillId="0" borderId="0" xfId="0" applyNumberFormat="1" applyFont="1" applyFill="1" applyBorder="1" applyAlignment="1" applyProtection="1">
      <alignment vertical="center"/>
    </xf>
    <xf numFmtId="49" fontId="5" fillId="0" borderId="0" xfId="2" applyNumberFormat="1" applyFont="1" applyBorder="1" applyAlignment="1" applyProtection="1">
      <alignment horizontal="right" vertical="center" wrapText="1"/>
    </xf>
    <xf numFmtId="197" fontId="5" fillId="0" borderId="13" xfId="2" applyNumberFormat="1" applyFont="1" applyFill="1" applyBorder="1" applyAlignment="1" applyProtection="1">
      <alignment vertical="center" shrinkToFit="1"/>
    </xf>
    <xf numFmtId="40" fontId="5" fillId="0" borderId="13" xfId="2" applyNumberFormat="1" applyFont="1" applyFill="1" applyBorder="1" applyAlignment="1" applyProtection="1">
      <alignment vertical="center" shrinkToFit="1"/>
    </xf>
    <xf numFmtId="49" fontId="32" fillId="5" borderId="0" xfId="2" applyNumberFormat="1" applyFont="1" applyFill="1" applyBorder="1" applyAlignment="1" applyProtection="1">
      <alignment vertical="center"/>
    </xf>
    <xf numFmtId="49" fontId="65" fillId="5" borderId="0" xfId="2" applyNumberFormat="1" applyFont="1" applyFill="1" applyBorder="1" applyAlignment="1" applyProtection="1">
      <alignment horizontal="left" vertical="center"/>
    </xf>
    <xf numFmtId="176" fontId="5" fillId="5" borderId="13" xfId="0" applyNumberFormat="1" applyFont="1" applyFill="1" applyBorder="1" applyAlignment="1" applyProtection="1">
      <alignment vertical="center" shrinkToFit="1"/>
    </xf>
    <xf numFmtId="180" fontId="5" fillId="5" borderId="0" xfId="0" applyNumberFormat="1" applyFont="1" applyFill="1" applyBorder="1" applyAlignment="1" applyProtection="1">
      <alignment horizontal="right" vertical="center" shrinkToFit="1"/>
    </xf>
    <xf numFmtId="0" fontId="0" fillId="5" borderId="0" xfId="0" applyFill="1" applyProtection="1">
      <alignment vertical="center"/>
      <protection locked="0"/>
    </xf>
    <xf numFmtId="0" fontId="10" fillId="5" borderId="0"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shrinkToFit="1"/>
      <protection locked="0"/>
    </xf>
    <xf numFmtId="178" fontId="69" fillId="5" borderId="38" xfId="0" applyNumberFormat="1" applyFont="1" applyFill="1" applyBorder="1" applyAlignment="1" applyProtection="1">
      <alignment horizontal="right" vertical="center" shrinkToFit="1"/>
      <protection locked="0"/>
    </xf>
    <xf numFmtId="178" fontId="12" fillId="4" borderId="13" xfId="0" applyNumberFormat="1" applyFont="1" applyFill="1" applyBorder="1" applyAlignment="1" applyProtection="1">
      <alignment horizontal="right" vertical="center" shrinkToFit="1"/>
      <protection locked="0"/>
    </xf>
    <xf numFmtId="178" fontId="5" fillId="4" borderId="13" xfId="0" applyNumberFormat="1" applyFont="1" applyFill="1" applyBorder="1" applyAlignment="1" applyProtection="1">
      <alignment horizontal="right" vertical="center" shrinkToFit="1"/>
      <protection locked="0"/>
    </xf>
    <xf numFmtId="49" fontId="12" fillId="4" borderId="13" xfId="0" applyNumberFormat="1" applyFont="1" applyFill="1" applyBorder="1" applyAlignment="1" applyProtection="1">
      <alignment horizontal="right" vertical="center" shrinkToFit="1"/>
      <protection locked="0"/>
    </xf>
    <xf numFmtId="0" fontId="14" fillId="4" borderId="36" xfId="0" applyFont="1" applyFill="1" applyBorder="1" applyAlignment="1" applyProtection="1">
      <alignment horizontal="center" vertical="center" shrinkToFit="1"/>
      <protection locked="0"/>
    </xf>
    <xf numFmtId="0" fontId="14" fillId="4" borderId="13" xfId="0" applyFont="1" applyFill="1" applyBorder="1" applyAlignment="1" applyProtection="1">
      <alignment horizontal="center" vertical="center" shrinkToFit="1"/>
      <protection locked="0"/>
    </xf>
    <xf numFmtId="181" fontId="5" fillId="4" borderId="13" xfId="0" applyNumberFormat="1" applyFont="1" applyFill="1" applyBorder="1" applyAlignment="1" applyProtection="1">
      <alignment vertical="center" shrinkToFit="1"/>
      <protection locked="0"/>
    </xf>
    <xf numFmtId="0" fontId="10" fillId="0" borderId="0" xfId="0" applyFont="1" applyFill="1" applyProtection="1">
      <alignment vertical="center"/>
    </xf>
    <xf numFmtId="0" fontId="10" fillId="0" borderId="0" xfId="0" applyFont="1" applyFill="1" applyBorder="1" applyProtection="1">
      <alignment vertical="center"/>
    </xf>
    <xf numFmtId="186" fontId="5" fillId="2" borderId="2" xfId="0" applyNumberFormat="1" applyFont="1" applyFill="1" applyBorder="1" applyAlignment="1" applyProtection="1">
      <alignment horizontal="right" vertical="center" shrinkToFit="1"/>
      <protection locked="0"/>
    </xf>
    <xf numFmtId="186" fontId="5" fillId="2" borderId="37" xfId="0" applyNumberFormat="1" applyFont="1" applyFill="1" applyBorder="1" applyAlignment="1" applyProtection="1">
      <alignment horizontal="right" vertical="center" shrinkToFit="1"/>
      <protection locked="0"/>
    </xf>
    <xf numFmtId="178" fontId="6" fillId="0" borderId="30" xfId="0" applyNumberFormat="1" applyFont="1" applyBorder="1" applyAlignment="1" applyProtection="1">
      <alignment horizontal="right" vertical="center" shrinkToFit="1"/>
    </xf>
    <xf numFmtId="178" fontId="6" fillId="0" borderId="13" xfId="0" applyNumberFormat="1" applyFont="1" applyBorder="1" applyAlignment="1" applyProtection="1">
      <alignment horizontal="right" vertical="center" shrinkToFit="1"/>
    </xf>
    <xf numFmtId="0" fontId="41" fillId="0" borderId="45" xfId="0" applyFont="1" applyBorder="1" applyAlignment="1" applyProtection="1">
      <alignment horizontal="center" vertical="center"/>
    </xf>
    <xf numFmtId="0" fontId="41" fillId="0" borderId="30" xfId="0" applyFont="1" applyBorder="1" applyAlignment="1" applyProtection="1">
      <alignment horizontal="center" vertical="center"/>
    </xf>
    <xf numFmtId="0" fontId="0" fillId="7" borderId="56" xfId="0" applyFill="1" applyBorder="1" applyAlignment="1" applyProtection="1">
      <alignment horizontal="center" vertical="center" wrapText="1"/>
    </xf>
    <xf numFmtId="0" fontId="0" fillId="7" borderId="53" xfId="0" applyFill="1" applyBorder="1" applyAlignment="1" applyProtection="1">
      <alignment horizontal="center" vertical="center" wrapText="1"/>
    </xf>
    <xf numFmtId="0" fontId="0" fillId="7" borderId="1" xfId="0" applyFill="1" applyBorder="1" applyAlignment="1" applyProtection="1">
      <alignment horizontal="center" vertical="center" wrapText="1"/>
    </xf>
    <xf numFmtId="0" fontId="0" fillId="7" borderId="55" xfId="0" applyFill="1" applyBorder="1" applyAlignment="1" applyProtection="1">
      <alignment horizontal="center" vertical="center" wrapText="1"/>
    </xf>
    <xf numFmtId="0" fontId="0" fillId="7" borderId="29" xfId="0" applyFill="1" applyBorder="1" applyAlignment="1" applyProtection="1">
      <alignment horizontal="center" vertical="center" wrapText="1"/>
    </xf>
    <xf numFmtId="0" fontId="0" fillId="5" borderId="56" xfId="0" applyFill="1" applyBorder="1" applyAlignment="1" applyProtection="1">
      <alignment horizontal="center" vertical="center" wrapText="1"/>
      <protection locked="0"/>
    </xf>
    <xf numFmtId="0" fontId="0" fillId="5" borderId="53"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31" fillId="5" borderId="8" xfId="0" applyFont="1" applyFill="1" applyBorder="1" applyAlignment="1" applyProtection="1">
      <alignment horizontal="center" vertical="center" shrinkToFit="1"/>
    </xf>
    <xf numFmtId="0" fontId="31" fillId="5" borderId="9" xfId="0" applyFont="1" applyFill="1" applyBorder="1" applyAlignment="1" applyProtection="1">
      <alignment horizontal="center" vertical="center" shrinkToFit="1"/>
    </xf>
    <xf numFmtId="0" fontId="8" fillId="0" borderId="36" xfId="0" applyFont="1" applyBorder="1" applyAlignment="1" applyProtection="1">
      <alignment horizontal="center" vertical="center" shrinkToFit="1"/>
    </xf>
    <xf numFmtId="0" fontId="0" fillId="0" borderId="13" xfId="0" applyBorder="1" applyAlignment="1" applyProtection="1">
      <alignment vertical="center" shrinkToFit="1"/>
    </xf>
    <xf numFmtId="0" fontId="10" fillId="0" borderId="13" xfId="0" applyFont="1" applyBorder="1" applyAlignment="1" applyProtection="1">
      <alignment horizontal="center" vertical="center" wrapText="1" shrinkToFit="1"/>
    </xf>
    <xf numFmtId="0" fontId="10" fillId="0" borderId="15"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10" fillId="0" borderId="30" xfId="0" applyFont="1" applyBorder="1" applyAlignment="1" applyProtection="1">
      <alignment horizontal="center" vertical="center" shrinkToFit="1"/>
    </xf>
    <xf numFmtId="0" fontId="7" fillId="0" borderId="5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0" fontId="5" fillId="0" borderId="35"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41" fillId="0" borderId="44" xfId="0" applyFont="1" applyBorder="1" applyAlignment="1" applyProtection="1">
      <alignment horizontal="center" vertical="center"/>
    </xf>
    <xf numFmtId="0" fontId="41" fillId="0" borderId="73" xfId="0" applyFont="1" applyBorder="1" applyAlignment="1" applyProtection="1">
      <alignment horizontal="center" vertical="center"/>
    </xf>
    <xf numFmtId="0" fontId="39" fillId="0" borderId="30" xfId="0" applyFont="1" applyBorder="1" applyAlignment="1" applyProtection="1">
      <alignment horizontal="center" vertical="top"/>
    </xf>
    <xf numFmtId="0" fontId="39" fillId="0" borderId="71" xfId="0" applyFont="1" applyBorder="1" applyAlignment="1" applyProtection="1">
      <alignment horizontal="center" vertical="top"/>
    </xf>
    <xf numFmtId="0" fontId="0" fillId="0" borderId="46"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77" xfId="0" applyFont="1" applyBorder="1" applyAlignment="1" applyProtection="1">
      <alignment horizontal="center" vertical="center" wrapText="1"/>
    </xf>
    <xf numFmtId="0" fontId="0" fillId="0" borderId="71" xfId="0" applyFont="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0" fillId="5" borderId="43" xfId="0" applyFont="1" applyFill="1" applyBorder="1" applyAlignment="1" applyProtection="1">
      <alignment horizontal="center" vertical="center" wrapText="1"/>
    </xf>
    <xf numFmtId="0" fontId="31" fillId="5" borderId="74" xfId="0" applyFont="1" applyFill="1" applyBorder="1" applyAlignment="1" applyProtection="1">
      <alignment horizontal="center" vertical="center" shrinkToFit="1"/>
    </xf>
    <xf numFmtId="0" fontId="31" fillId="5" borderId="76" xfId="0" applyFont="1" applyFill="1" applyBorder="1" applyAlignment="1" applyProtection="1">
      <alignment horizontal="center" vertical="center" shrinkToFit="1"/>
    </xf>
    <xf numFmtId="177" fontId="6" fillId="0" borderId="13" xfId="0" applyNumberFormat="1" applyFont="1" applyBorder="1" applyAlignment="1" applyProtection="1">
      <alignment horizontal="right" vertical="center" shrinkToFit="1"/>
    </xf>
    <xf numFmtId="177" fontId="6" fillId="0" borderId="71" xfId="0" applyNumberFormat="1" applyFont="1" applyBorder="1" applyAlignment="1" applyProtection="1">
      <alignment horizontal="right" vertical="center" shrinkToFit="1"/>
    </xf>
    <xf numFmtId="0" fontId="5" fillId="0" borderId="41" xfId="0" applyFont="1" applyBorder="1" applyAlignment="1" applyProtection="1">
      <alignment horizontal="center" vertical="center" shrinkToFit="1"/>
    </xf>
    <xf numFmtId="0" fontId="5" fillId="0" borderId="42"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7" fillId="0" borderId="71" xfId="0" applyFont="1" applyBorder="1" applyAlignment="1" applyProtection="1">
      <alignment horizontal="center" vertical="center" shrinkToFit="1"/>
    </xf>
    <xf numFmtId="0" fontId="7" fillId="0" borderId="72" xfId="0" applyFont="1" applyBorder="1" applyAlignment="1" applyProtection="1">
      <alignment horizontal="center" vertical="center" shrinkToFit="1"/>
    </xf>
    <xf numFmtId="178" fontId="6" fillId="0" borderId="71" xfId="0" applyNumberFormat="1" applyFont="1" applyBorder="1" applyAlignment="1" applyProtection="1">
      <alignment horizontal="right" vertical="center" shrinkToFit="1"/>
    </xf>
    <xf numFmtId="0" fontId="8" fillId="0" borderId="35" xfId="0" applyFont="1" applyBorder="1" applyAlignment="1" applyProtection="1">
      <alignment horizontal="center" vertical="center" shrinkToFit="1"/>
    </xf>
    <xf numFmtId="0" fontId="8" fillId="0" borderId="46"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7" xfId="0" applyFont="1" applyBorder="1" applyAlignment="1" applyProtection="1">
      <alignment horizontal="left" vertical="center" shrinkToFit="1"/>
    </xf>
    <xf numFmtId="0" fontId="8" fillId="0" borderId="36" xfId="0" applyFont="1" applyBorder="1" applyAlignment="1" applyProtection="1">
      <alignment horizontal="left" vertical="center" shrinkToFit="1"/>
    </xf>
    <xf numFmtId="0" fontId="0" fillId="5" borderId="41" xfId="0" applyFont="1" applyFill="1" applyBorder="1" applyAlignment="1" applyProtection="1">
      <alignment horizontal="center" vertical="center" wrapText="1"/>
    </xf>
    <xf numFmtId="0" fontId="0" fillId="5" borderId="42" xfId="0" applyFont="1" applyFill="1" applyBorder="1" applyAlignment="1" applyProtection="1">
      <alignment horizontal="center" vertical="center" wrapText="1"/>
    </xf>
    <xf numFmtId="0" fontId="0" fillId="5" borderId="35" xfId="0" applyFont="1" applyFill="1" applyBorder="1" applyAlignment="1" applyProtection="1">
      <alignment horizontal="center" vertical="center" wrapText="1"/>
    </xf>
    <xf numFmtId="0" fontId="0" fillId="5" borderId="46" xfId="0" applyFont="1" applyFill="1" applyBorder="1" applyAlignment="1" applyProtection="1">
      <alignment horizontal="center" vertical="center" wrapText="1"/>
    </xf>
    <xf numFmtId="0" fontId="31" fillId="5" borderId="41" xfId="0" applyFont="1" applyFill="1" applyBorder="1" applyAlignment="1" applyProtection="1">
      <alignment horizontal="center" vertical="center" wrapText="1" shrinkToFit="1"/>
    </xf>
    <xf numFmtId="0" fontId="31" fillId="5" borderId="47" xfId="0" applyFont="1" applyFill="1" applyBorder="1" applyAlignment="1" applyProtection="1">
      <alignment horizontal="center" vertical="center" wrapText="1" shrinkToFit="1"/>
    </xf>
    <xf numFmtId="0" fontId="5" fillId="0" borderId="2"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41"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9" fillId="5" borderId="41" xfId="0" applyNumberFormat="1" applyFont="1" applyFill="1" applyBorder="1" applyAlignment="1" applyProtection="1">
      <alignment horizontal="center" vertical="center" wrapText="1"/>
    </xf>
    <xf numFmtId="0" fontId="29" fillId="5" borderId="47" xfId="0" applyNumberFormat="1" applyFont="1" applyFill="1" applyBorder="1" applyAlignment="1" applyProtection="1">
      <alignment horizontal="center" vertical="center" wrapText="1"/>
    </xf>
    <xf numFmtId="0" fontId="28" fillId="0" borderId="41" xfId="0" applyFont="1" applyBorder="1" applyAlignment="1" applyProtection="1">
      <alignment horizontal="center" vertical="center" shrinkToFit="1"/>
    </xf>
    <xf numFmtId="0" fontId="70" fillId="0" borderId="47" xfId="0" applyFont="1" applyBorder="1" applyAlignment="1" applyProtection="1">
      <alignment horizontal="center" vertical="center" shrinkToFit="1"/>
    </xf>
    <xf numFmtId="180" fontId="6" fillId="0" borderId="13" xfId="0" applyNumberFormat="1" applyFont="1" applyBorder="1" applyAlignment="1" applyProtection="1">
      <alignment horizontal="right" vertical="center" shrinkToFit="1"/>
    </xf>
    <xf numFmtId="0" fontId="5" fillId="0" borderId="48" xfId="0" applyFont="1" applyFill="1" applyBorder="1" applyAlignment="1" applyProtection="1">
      <alignment horizontal="center" vertical="center" wrapText="1" shrinkToFit="1"/>
    </xf>
    <xf numFmtId="0" fontId="5" fillId="0" borderId="49" xfId="0" applyFont="1" applyFill="1" applyBorder="1" applyAlignment="1" applyProtection="1">
      <alignment horizontal="center" vertical="center" wrapText="1" shrinkToFit="1"/>
    </xf>
    <xf numFmtId="0" fontId="5" fillId="0" borderId="50" xfId="0" applyFont="1" applyFill="1" applyBorder="1" applyAlignment="1" applyProtection="1">
      <alignment horizontal="center" vertical="center" wrapText="1" shrinkToFit="1"/>
    </xf>
    <xf numFmtId="0" fontId="31" fillId="5" borderId="35" xfId="0" applyFont="1" applyFill="1" applyBorder="1" applyAlignment="1" applyProtection="1">
      <alignment horizontal="center" vertical="center" shrinkToFit="1"/>
    </xf>
    <xf numFmtId="0" fontId="31" fillId="5" borderId="34" xfId="0" applyFont="1" applyFill="1" applyBorder="1" applyAlignment="1" applyProtection="1">
      <alignment horizontal="center" vertical="center" shrinkToFit="1"/>
    </xf>
    <xf numFmtId="0" fontId="5" fillId="0" borderId="13" xfId="0" applyFont="1" applyBorder="1" applyAlignment="1" applyProtection="1">
      <alignment horizontal="center" vertical="center" wrapText="1"/>
    </xf>
    <xf numFmtId="0" fontId="5" fillId="0" borderId="71" xfId="0" applyFont="1" applyBorder="1" applyAlignment="1" applyProtection="1">
      <alignment horizontal="center" vertical="center" wrapText="1"/>
    </xf>
    <xf numFmtId="177" fontId="6" fillId="0" borderId="30" xfId="0" applyNumberFormat="1" applyFont="1" applyBorder="1" applyAlignment="1" applyProtection="1">
      <alignment horizontal="right" vertical="center" shrinkToFit="1"/>
    </xf>
    <xf numFmtId="0" fontId="5" fillId="0" borderId="30" xfId="0" applyFont="1" applyBorder="1" applyAlignment="1" applyProtection="1">
      <alignment horizontal="center" vertical="center" shrinkToFit="1"/>
    </xf>
    <xf numFmtId="0" fontId="5" fillId="0" borderId="71" xfId="0" applyFont="1" applyBorder="1" applyAlignment="1" applyProtection="1">
      <alignment horizontal="center" vertical="center" shrinkToFit="1"/>
    </xf>
    <xf numFmtId="0" fontId="5" fillId="0" borderId="13" xfId="0" applyFont="1" applyBorder="1" applyAlignment="1" applyProtection="1">
      <alignment vertical="center" wrapText="1"/>
    </xf>
    <xf numFmtId="0" fontId="0" fillId="0" borderId="13" xfId="0" applyBorder="1" applyAlignment="1" applyProtection="1">
      <alignment vertical="center" wrapText="1"/>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179" fontId="6" fillId="0" borderId="13" xfId="0" applyNumberFormat="1" applyFont="1" applyBorder="1" applyAlignment="1" applyProtection="1">
      <alignment horizontal="right" vertical="center" shrinkToFit="1"/>
    </xf>
    <xf numFmtId="179" fontId="6" fillId="0" borderId="71" xfId="0" applyNumberFormat="1" applyFont="1" applyBorder="1" applyAlignment="1" applyProtection="1">
      <alignment horizontal="right" vertical="center" shrinkToFit="1"/>
    </xf>
    <xf numFmtId="0" fontId="0" fillId="5" borderId="0" xfId="0" applyFill="1" applyBorder="1" applyAlignment="1" applyProtection="1">
      <alignment horizontal="left" vertical="center"/>
      <protection locked="0"/>
    </xf>
    <xf numFmtId="31" fontId="5" fillId="0" borderId="45" xfId="0" applyNumberFormat="1" applyFont="1" applyBorder="1" applyAlignment="1" applyProtection="1">
      <alignment horizontal="center" vertical="center" shrinkToFit="1"/>
    </xf>
    <xf numFmtId="31" fontId="5" fillId="0" borderId="30" xfId="0" applyNumberFormat="1" applyFont="1" applyBorder="1" applyAlignment="1" applyProtection="1">
      <alignment horizontal="center" vertical="center" shrinkToFit="1"/>
    </xf>
    <xf numFmtId="0" fontId="11" fillId="6" borderId="39" xfId="0" applyFont="1" applyFill="1" applyBorder="1" applyAlignment="1" applyProtection="1">
      <alignment horizontal="center" vertical="center"/>
    </xf>
    <xf numFmtId="0" fontId="11" fillId="6" borderId="28" xfId="0" applyFont="1" applyFill="1" applyBorder="1" applyAlignment="1" applyProtection="1">
      <alignment horizontal="center" vertical="center"/>
    </xf>
    <xf numFmtId="0" fontId="11" fillId="6" borderId="52" xfId="0" applyFont="1" applyFill="1" applyBorder="1" applyAlignment="1" applyProtection="1">
      <alignment horizontal="center" vertical="center"/>
    </xf>
    <xf numFmtId="0" fontId="5" fillId="2" borderId="2" xfId="0" applyFont="1" applyFill="1" applyBorder="1" applyAlignment="1" applyProtection="1">
      <alignment horizontal="right" vertical="center" shrinkToFit="1"/>
      <protection locked="0"/>
    </xf>
    <xf numFmtId="0" fontId="5" fillId="2" borderId="37" xfId="0" applyFont="1" applyFill="1" applyBorder="1" applyAlignment="1" applyProtection="1">
      <alignment horizontal="right" vertical="center" shrinkToFit="1"/>
      <protection locked="0"/>
    </xf>
    <xf numFmtId="0" fontId="5" fillId="0" borderId="53" xfId="0" applyFont="1" applyBorder="1" applyAlignment="1" applyProtection="1">
      <alignment horizontal="center" vertical="center" wrapText="1"/>
    </xf>
    <xf numFmtId="0" fontId="0" fillId="0" borderId="53" xfId="0" applyBorder="1" applyAlignment="1" applyProtection="1">
      <alignment horizontal="center" vertical="center" wrapText="1"/>
    </xf>
    <xf numFmtId="0" fontId="8" fillId="0" borderId="13" xfId="0" applyFont="1" applyBorder="1" applyAlignment="1" applyProtection="1">
      <alignment horizontal="center" vertical="center" shrinkToFit="1"/>
    </xf>
    <xf numFmtId="0" fontId="0" fillId="0" borderId="36" xfId="0" applyBorder="1" applyAlignment="1" applyProtection="1">
      <alignment vertical="center" shrinkToFit="1"/>
    </xf>
    <xf numFmtId="0" fontId="12" fillId="2" borderId="2"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shrinkToFit="1"/>
      <protection locked="0"/>
    </xf>
    <xf numFmtId="0" fontId="12" fillId="2" borderId="36" xfId="0" applyFont="1" applyFill="1" applyBorder="1" applyAlignment="1" applyProtection="1">
      <alignment horizontal="center" vertical="center" shrinkToFit="1"/>
      <protection locked="0"/>
    </xf>
    <xf numFmtId="0" fontId="10" fillId="5" borderId="0" xfId="0" applyFont="1" applyFill="1" applyBorder="1" applyAlignment="1" applyProtection="1">
      <alignment horizontal="center" vertical="center"/>
      <protection locked="0"/>
    </xf>
    <xf numFmtId="186" fontId="5" fillId="2" borderId="2" xfId="0" applyNumberFormat="1" applyFont="1" applyFill="1" applyBorder="1" applyAlignment="1" applyProtection="1">
      <alignment horizontal="left" vertical="top" wrapText="1"/>
      <protection locked="0"/>
    </xf>
    <xf numFmtId="186" fontId="5" fillId="2" borderId="37" xfId="0" applyNumberFormat="1" applyFont="1" applyFill="1" applyBorder="1" applyAlignment="1" applyProtection="1">
      <alignment horizontal="left" vertical="top" wrapText="1"/>
      <protection locked="0"/>
    </xf>
    <xf numFmtId="186" fontId="5" fillId="2" borderId="32" xfId="0" applyNumberFormat="1" applyFont="1" applyFill="1" applyBorder="1" applyAlignment="1" applyProtection="1">
      <alignment horizontal="left" vertical="top" wrapText="1"/>
      <protection locked="0"/>
    </xf>
    <xf numFmtId="0" fontId="5" fillId="0" borderId="44"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2"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185" fontId="5" fillId="2" borderId="2" xfId="0" applyNumberFormat="1" applyFont="1" applyFill="1" applyBorder="1" applyAlignment="1" applyProtection="1">
      <alignment horizontal="center" vertical="center"/>
      <protection locked="0"/>
    </xf>
    <xf numFmtId="185" fontId="5" fillId="2" borderId="32" xfId="0" applyNumberFormat="1"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shrinkToFit="1"/>
      <protection locked="0"/>
    </xf>
    <xf numFmtId="0" fontId="9" fillId="4" borderId="6" xfId="0" applyFont="1" applyFill="1" applyBorder="1" applyAlignment="1" applyProtection="1">
      <alignment horizontal="center" vertical="center" shrinkToFit="1"/>
      <protection locked="0"/>
    </xf>
    <xf numFmtId="0" fontId="9" fillId="4" borderId="66" xfId="0" applyFont="1" applyFill="1" applyBorder="1" applyAlignment="1" applyProtection="1">
      <alignment horizontal="center" vertical="center" shrinkToFit="1"/>
      <protection locked="0"/>
    </xf>
    <xf numFmtId="0" fontId="9" fillId="4" borderId="35" xfId="0" applyFont="1" applyFill="1" applyBorder="1" applyAlignment="1" applyProtection="1">
      <alignment horizontal="center" vertical="center" shrinkToFit="1"/>
      <protection locked="0"/>
    </xf>
    <xf numFmtId="0" fontId="9" fillId="4" borderId="31" xfId="0" applyFont="1" applyFill="1" applyBorder="1" applyAlignment="1" applyProtection="1">
      <alignment horizontal="center" vertical="center" shrinkToFit="1"/>
      <protection locked="0"/>
    </xf>
    <xf numFmtId="0" fontId="9" fillId="4" borderId="46" xfId="0" applyFont="1" applyFill="1" applyBorder="1" applyAlignment="1" applyProtection="1">
      <alignment horizontal="center" vertical="center" shrinkToFit="1"/>
      <protection locked="0"/>
    </xf>
    <xf numFmtId="0" fontId="12" fillId="2" borderId="48"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shrinkToFit="1"/>
      <protection locked="0"/>
    </xf>
    <xf numFmtId="0" fontId="4" fillId="2" borderId="50" xfId="0" applyFont="1" applyFill="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xf>
    <xf numFmtId="0" fontId="5" fillId="0" borderId="51" xfId="0" applyFont="1" applyBorder="1" applyAlignment="1" applyProtection="1">
      <alignment horizontal="center" vertical="center" shrinkToFit="1"/>
    </xf>
    <xf numFmtId="0" fontId="12" fillId="2" borderId="4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47"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186" fontId="5" fillId="2" borderId="37" xfId="0" applyNumberFormat="1" applyFont="1" applyFill="1" applyBorder="1" applyAlignment="1" applyProtection="1">
      <alignment horizontal="left" vertical="center" shrinkToFit="1"/>
      <protection locked="0"/>
    </xf>
    <xf numFmtId="186" fontId="5" fillId="2" borderId="36" xfId="0" applyNumberFormat="1" applyFont="1" applyFill="1" applyBorder="1" applyAlignment="1" applyProtection="1">
      <alignment horizontal="left" vertical="center" shrinkToFit="1"/>
      <protection locked="0"/>
    </xf>
    <xf numFmtId="0" fontId="5" fillId="0" borderId="55" xfId="0" applyFont="1" applyBorder="1" applyAlignment="1" applyProtection="1">
      <alignment horizontal="center" vertical="center" wrapText="1"/>
    </xf>
    <xf numFmtId="0" fontId="0" fillId="0" borderId="29" xfId="0" applyBorder="1" applyAlignment="1" applyProtection="1">
      <alignment horizontal="center" vertical="center" wrapText="1"/>
    </xf>
    <xf numFmtId="31" fontId="0" fillId="2" borderId="35" xfId="0" applyNumberForma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5" fillId="0" borderId="35"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0" fillId="0" borderId="41" xfId="0" applyFont="1" applyBorder="1" applyAlignment="1" applyProtection="1">
      <alignment vertical="center" wrapText="1"/>
    </xf>
    <xf numFmtId="0" fontId="1" fillId="0" borderId="4" xfId="0" applyFont="1" applyBorder="1" applyAlignment="1" applyProtection="1">
      <alignment vertical="center" wrapText="1"/>
    </xf>
    <xf numFmtId="0" fontId="1" fillId="0" borderId="42" xfId="0" applyFont="1" applyBorder="1" applyAlignment="1" applyProtection="1">
      <alignment vertical="center" wrapText="1"/>
    </xf>
    <xf numFmtId="0" fontId="1" fillId="0" borderId="35" xfId="0" applyFont="1" applyBorder="1" applyAlignment="1" applyProtection="1">
      <alignment vertical="center" wrapText="1"/>
    </xf>
    <xf numFmtId="0" fontId="1" fillId="0" borderId="31" xfId="0" applyFont="1" applyBorder="1" applyAlignment="1" applyProtection="1">
      <alignment vertical="center" wrapText="1"/>
    </xf>
    <xf numFmtId="0" fontId="1" fillId="0" borderId="46" xfId="0" applyFont="1" applyBorder="1" applyAlignment="1" applyProtection="1">
      <alignment vertical="center" wrapText="1"/>
    </xf>
    <xf numFmtId="0" fontId="5" fillId="0" borderId="30" xfId="0" applyFont="1" applyBorder="1" applyAlignment="1" applyProtection="1">
      <alignment horizontal="center" vertical="center" wrapText="1"/>
    </xf>
    <xf numFmtId="0" fontId="31" fillId="5" borderId="10" xfId="0" applyFont="1" applyFill="1" applyBorder="1" applyAlignment="1" applyProtection="1">
      <alignment horizontal="center" vertical="center" shrinkToFit="1"/>
    </xf>
    <xf numFmtId="0" fontId="31" fillId="5" borderId="12" xfId="0" applyFont="1" applyFill="1" applyBorder="1" applyAlignment="1" applyProtection="1">
      <alignment horizontal="center" vertical="center" shrinkToFit="1"/>
    </xf>
    <xf numFmtId="183" fontId="6" fillId="0" borderId="13" xfId="0" applyNumberFormat="1" applyFont="1" applyBorder="1" applyAlignment="1" applyProtection="1">
      <alignment horizontal="right" vertical="center" shrinkToFit="1"/>
    </xf>
    <xf numFmtId="183" fontId="6" fillId="0" borderId="44" xfId="0" applyNumberFormat="1" applyFont="1" applyBorder="1" applyAlignment="1" applyProtection="1">
      <alignment horizontal="right" vertical="center" shrinkToFit="1"/>
    </xf>
    <xf numFmtId="183" fontId="6" fillId="0" borderId="14" xfId="0" applyNumberFormat="1" applyFont="1" applyBorder="1" applyAlignment="1" applyProtection="1">
      <alignment horizontal="right" vertical="center" shrinkToFit="1"/>
    </xf>
    <xf numFmtId="0" fontId="5" fillId="0" borderId="1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39" fillId="0" borderId="13" xfId="0" applyFont="1" applyBorder="1" applyAlignment="1" applyProtection="1">
      <alignment horizontal="center" vertical="center" wrapText="1"/>
    </xf>
    <xf numFmtId="0" fontId="39" fillId="0" borderId="44" xfId="0" applyFont="1" applyBorder="1" applyAlignment="1" applyProtection="1">
      <alignment horizontal="center" vertical="center" wrapText="1"/>
    </xf>
    <xf numFmtId="0" fontId="41" fillId="0" borderId="14" xfId="0" applyFont="1" applyBorder="1" applyAlignment="1" applyProtection="1">
      <alignment horizontal="center" vertical="center" wrapText="1"/>
    </xf>
    <xf numFmtId="0" fontId="7" fillId="0" borderId="30" xfId="0" applyFont="1" applyBorder="1" applyAlignment="1" applyProtection="1">
      <alignment horizontal="center" vertical="center" shrinkToFit="1"/>
    </xf>
    <xf numFmtId="0" fontId="0" fillId="0" borderId="8"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43"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31" fillId="5" borderId="41" xfId="0" applyFont="1" applyFill="1" applyBorder="1" applyAlignment="1" applyProtection="1">
      <alignment horizontal="center" vertical="center" shrinkToFit="1"/>
    </xf>
    <xf numFmtId="0" fontId="31" fillId="5" borderId="47" xfId="0" applyFont="1" applyFill="1" applyBorder="1" applyAlignment="1" applyProtection="1">
      <alignment horizontal="center" vertical="center" shrinkToFit="1"/>
    </xf>
    <xf numFmtId="0" fontId="30" fillId="0" borderId="8" xfId="0" applyFont="1" applyBorder="1" applyAlignment="1" applyProtection="1">
      <alignment horizontal="center" vertical="center" wrapText="1" shrinkToFit="1"/>
    </xf>
    <xf numFmtId="0" fontId="30" fillId="0" borderId="9" xfId="0" applyFont="1" applyBorder="1" applyAlignment="1" applyProtection="1">
      <alignment horizontal="center" vertical="center" wrapText="1" shrinkToFit="1"/>
    </xf>
    <xf numFmtId="0" fontId="30" fillId="0" borderId="35" xfId="0" applyFont="1" applyBorder="1" applyAlignment="1" applyProtection="1">
      <alignment horizontal="center" vertical="center" wrapText="1" shrinkToFit="1"/>
    </xf>
    <xf numFmtId="0" fontId="30" fillId="0" borderId="34" xfId="0" applyFont="1" applyBorder="1" applyAlignment="1" applyProtection="1">
      <alignment horizontal="center" vertical="center" wrapText="1" shrinkToFi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179" fontId="6" fillId="0" borderId="30" xfId="0" applyNumberFormat="1" applyFont="1" applyBorder="1" applyAlignment="1" applyProtection="1">
      <alignment horizontal="right" vertical="center" shrinkToFit="1"/>
    </xf>
    <xf numFmtId="0" fontId="5" fillId="0" borderId="2" xfId="0"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shrinkToFit="1"/>
    </xf>
    <xf numFmtId="0" fontId="79" fillId="4" borderId="36" xfId="0" applyFont="1" applyFill="1" applyBorder="1" applyAlignment="1" applyProtection="1">
      <alignment horizontal="center" vertical="center" shrinkToFit="1"/>
      <protection locked="0"/>
    </xf>
    <xf numFmtId="0" fontId="79" fillId="4" borderId="13" xfId="0" applyFont="1" applyFill="1" applyBorder="1" applyAlignment="1" applyProtection="1">
      <alignment horizontal="center" vertical="center" shrinkToFit="1"/>
      <protection locked="0"/>
    </xf>
    <xf numFmtId="176" fontId="6" fillId="0" borderId="44" xfId="0" applyNumberFormat="1" applyFont="1" applyFill="1" applyBorder="1" applyAlignment="1" applyProtection="1">
      <alignment horizontal="right" vertical="center" shrinkToFit="1"/>
    </xf>
    <xf numFmtId="176" fontId="6" fillId="0" borderId="30" xfId="0" applyNumberFormat="1" applyFont="1" applyFill="1" applyBorder="1" applyAlignment="1" applyProtection="1">
      <alignment horizontal="right" vertical="center" shrinkToFit="1"/>
    </xf>
    <xf numFmtId="0" fontId="0" fillId="5" borderId="45" xfId="0" applyFill="1" applyBorder="1" applyAlignment="1" applyProtection="1">
      <alignment horizontal="left" vertical="center" wrapText="1"/>
    </xf>
    <xf numFmtId="0" fontId="0" fillId="5" borderId="30" xfId="0" applyFill="1" applyBorder="1" applyAlignment="1" applyProtection="1">
      <alignment horizontal="left" vertical="center" wrapText="1"/>
    </xf>
    <xf numFmtId="0" fontId="39" fillId="0" borderId="30" xfId="0" applyFont="1" applyBorder="1" applyAlignment="1" applyProtection="1">
      <alignment horizontal="center" vertical="center" wrapText="1"/>
    </xf>
    <xf numFmtId="0" fontId="41" fillId="0" borderId="13"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14" xfId="0" applyBorder="1" applyAlignment="1" applyProtection="1">
      <alignment vertical="center" wrapText="1"/>
    </xf>
    <xf numFmtId="0" fontId="0" fillId="0" borderId="2" xfId="0" applyBorder="1" applyAlignment="1" applyProtection="1">
      <alignment horizontal="left" vertical="center" wrapText="1"/>
    </xf>
    <xf numFmtId="0" fontId="1" fillId="0" borderId="37" xfId="0" applyFont="1" applyBorder="1" applyAlignment="1" applyProtection="1">
      <alignment horizontal="left" vertical="center" wrapText="1"/>
    </xf>
    <xf numFmtId="0" fontId="1" fillId="0" borderId="36" xfId="0" applyFont="1" applyBorder="1" applyAlignment="1" applyProtection="1">
      <alignment horizontal="left" vertical="center" wrapText="1"/>
    </xf>
    <xf numFmtId="0" fontId="0" fillId="5" borderId="13"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71" xfId="0" applyFont="1" applyFill="1" applyBorder="1" applyAlignment="1" applyProtection="1">
      <alignment horizontal="center" vertical="center" wrapText="1"/>
    </xf>
    <xf numFmtId="0" fontId="0" fillId="5" borderId="78" xfId="0" applyFont="1" applyFill="1" applyBorder="1" applyAlignment="1" applyProtection="1">
      <alignment horizontal="center" vertical="center" wrapText="1"/>
    </xf>
    <xf numFmtId="0" fontId="41" fillId="0" borderId="71" xfId="0" applyFont="1" applyBorder="1" applyAlignment="1" applyProtection="1">
      <alignment horizontal="center" vertical="center" wrapText="1"/>
    </xf>
    <xf numFmtId="0" fontId="0" fillId="5" borderId="8" xfId="0" applyFont="1" applyFill="1" applyBorder="1" applyAlignment="1" applyProtection="1">
      <alignment horizontal="center" vertical="center" wrapText="1"/>
    </xf>
    <xf numFmtId="179" fontId="4" fillId="4" borderId="2" xfId="0" applyNumberFormat="1" applyFont="1" applyFill="1" applyBorder="1" applyAlignment="1" applyProtection="1">
      <alignment horizontal="center" vertical="center" shrinkToFit="1"/>
      <protection locked="0"/>
    </xf>
    <xf numFmtId="0" fontId="4" fillId="0" borderId="37" xfId="0" applyFont="1" applyBorder="1" applyAlignment="1" applyProtection="1">
      <alignment vertical="center" shrinkToFit="1"/>
      <protection locked="0"/>
    </xf>
    <xf numFmtId="0" fontId="4" fillId="2" borderId="48" xfId="0" applyFont="1" applyFill="1" applyBorder="1" applyAlignment="1" applyProtection="1">
      <alignment horizontal="center" vertical="center" wrapText="1" shrinkToFit="1"/>
      <protection locked="0"/>
    </xf>
    <xf numFmtId="0" fontId="4" fillId="2" borderId="49" xfId="0" applyFont="1" applyFill="1" applyBorder="1" applyAlignment="1" applyProtection="1">
      <alignment horizontal="center" vertical="center" wrapText="1" shrinkToFit="1"/>
      <protection locked="0"/>
    </xf>
    <xf numFmtId="0" fontId="4" fillId="2" borderId="70" xfId="0" applyFont="1" applyFill="1" applyBorder="1" applyAlignment="1" applyProtection="1">
      <alignment horizontal="center" vertical="center" wrapText="1" shrinkToFit="1"/>
      <protection locked="0"/>
    </xf>
    <xf numFmtId="0" fontId="79" fillId="4" borderId="2" xfId="0" applyFont="1" applyFill="1" applyBorder="1" applyAlignment="1" applyProtection="1">
      <alignment horizontal="center" vertical="center" shrinkToFit="1"/>
      <protection locked="0"/>
    </xf>
    <xf numFmtId="0" fontId="79" fillId="4" borderId="37" xfId="0" applyFont="1" applyFill="1" applyBorder="1" applyAlignment="1" applyProtection="1">
      <alignment horizontal="center" vertical="center" shrinkToFit="1"/>
      <protection locked="0"/>
    </xf>
    <xf numFmtId="0" fontId="79" fillId="4" borderId="32" xfId="0" applyFont="1" applyFill="1" applyBorder="1" applyAlignment="1" applyProtection="1">
      <alignment horizontal="center" vertical="center" shrinkToFit="1"/>
      <protection locked="0"/>
    </xf>
    <xf numFmtId="193" fontId="29" fillId="0" borderId="35" xfId="0" applyNumberFormat="1" applyFont="1" applyBorder="1" applyAlignment="1" applyProtection="1">
      <alignment horizontal="center" vertical="center"/>
    </xf>
    <xf numFmtId="193" fontId="29" fillId="0" borderId="34" xfId="0" applyNumberFormat="1" applyFont="1" applyBorder="1" applyAlignment="1" applyProtection="1">
      <alignment horizontal="center" vertical="center"/>
    </xf>
    <xf numFmtId="0" fontId="30" fillId="0" borderId="41" xfId="0" applyFont="1" applyBorder="1" applyAlignment="1" applyProtection="1">
      <alignment horizontal="center" vertical="center" wrapText="1" shrinkToFit="1"/>
    </xf>
    <xf numFmtId="0" fontId="30" fillId="0" borderId="47" xfId="0" applyFont="1" applyBorder="1" applyAlignment="1" applyProtection="1">
      <alignment horizontal="center" vertical="center" wrapText="1" shrinkToFit="1"/>
    </xf>
    <xf numFmtId="0" fontId="30" fillId="0" borderId="74" xfId="0" applyFont="1" applyBorder="1" applyAlignment="1" applyProtection="1">
      <alignment horizontal="center" vertical="center" wrapText="1" shrinkToFit="1"/>
    </xf>
    <xf numFmtId="0" fontId="30" fillId="0" borderId="76" xfId="0" applyFont="1" applyBorder="1" applyAlignment="1" applyProtection="1">
      <alignment horizontal="center" vertical="center" wrapText="1" shrinkToFit="1"/>
    </xf>
    <xf numFmtId="0" fontId="8" fillId="0" borderId="41" xfId="0" applyFont="1" applyBorder="1" applyAlignment="1" applyProtection="1">
      <alignment horizontal="center" vertical="center" shrinkToFit="1"/>
    </xf>
    <xf numFmtId="0" fontId="8" fillId="0" borderId="42" xfId="0" applyFont="1" applyBorder="1" applyAlignment="1" applyProtection="1">
      <alignment horizontal="center" vertical="center" shrinkToFit="1"/>
    </xf>
    <xf numFmtId="0" fontId="39" fillId="0" borderId="44" xfId="0" applyFont="1" applyBorder="1" applyAlignment="1" applyProtection="1">
      <alignment horizontal="center" vertical="center"/>
    </xf>
    <xf numFmtId="0" fontId="39" fillId="5" borderId="30" xfId="0" applyFont="1" applyFill="1" applyBorder="1" applyAlignment="1" applyProtection="1">
      <alignment horizontal="center" vertical="top"/>
    </xf>
    <xf numFmtId="0" fontId="39" fillId="5" borderId="13" xfId="0" applyFont="1" applyFill="1" applyBorder="1" applyAlignment="1" applyProtection="1">
      <alignment horizontal="center" vertical="top"/>
    </xf>
    <xf numFmtId="0" fontId="10" fillId="5" borderId="8"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8" fillId="0" borderId="37" xfId="0" applyFont="1" applyBorder="1" applyAlignment="1" applyProtection="1">
      <alignment horizontal="center" vertical="center" shrinkToFit="1"/>
    </xf>
    <xf numFmtId="0" fontId="8" fillId="0" borderId="32" xfId="0" applyFont="1" applyBorder="1" applyAlignment="1" applyProtection="1">
      <alignment horizontal="center" vertical="center" shrinkToFit="1"/>
    </xf>
    <xf numFmtId="177" fontId="6" fillId="0" borderId="44" xfId="0" applyNumberFormat="1" applyFont="1" applyBorder="1" applyAlignment="1" applyProtection="1">
      <alignment horizontal="right" vertical="center" shrinkToFit="1"/>
    </xf>
    <xf numFmtId="177" fontId="6" fillId="0" borderId="45" xfId="0" applyNumberFormat="1" applyFont="1" applyBorder="1" applyAlignment="1" applyProtection="1">
      <alignment horizontal="right" vertical="center" shrinkToFit="1"/>
    </xf>
    <xf numFmtId="0" fontId="5" fillId="0" borderId="13" xfId="0" applyFont="1" applyBorder="1" applyAlignment="1" applyProtection="1">
      <alignment horizontal="center" vertical="center" shrinkToFit="1"/>
    </xf>
    <xf numFmtId="0" fontId="10" fillId="5" borderId="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shrinkToFit="1"/>
      <protection locked="0"/>
    </xf>
    <xf numFmtId="0" fontId="0" fillId="0" borderId="37" xfId="0" applyFont="1" applyBorder="1" applyAlignment="1" applyProtection="1">
      <alignment vertical="center" shrinkToFit="1"/>
      <protection locked="0"/>
    </xf>
    <xf numFmtId="0" fontId="5" fillId="5" borderId="6" xfId="0" applyFont="1" applyFill="1" applyBorder="1" applyAlignment="1" applyProtection="1">
      <alignment horizontal="center" vertical="center" wrapText="1"/>
    </xf>
    <xf numFmtId="179" fontId="4" fillId="4" borderId="37" xfId="0" applyNumberFormat="1" applyFont="1" applyFill="1" applyBorder="1" applyAlignment="1" applyProtection="1">
      <alignment horizontal="center" vertical="center" shrinkToFit="1"/>
      <protection locked="0"/>
    </xf>
    <xf numFmtId="0" fontId="0" fillId="5" borderId="0" xfId="0" applyFont="1" applyFill="1" applyBorder="1" applyAlignment="1" applyProtection="1">
      <alignment horizontal="left" vertical="center" wrapText="1"/>
    </xf>
    <xf numFmtId="0" fontId="29" fillId="5" borderId="0" xfId="0" applyFont="1" applyFill="1" applyBorder="1" applyAlignment="1" applyProtection="1">
      <alignment horizontal="left" vertical="center" shrinkToFit="1"/>
    </xf>
    <xf numFmtId="0" fontId="29" fillId="5" borderId="9" xfId="0" applyFont="1" applyFill="1" applyBorder="1" applyAlignment="1" applyProtection="1">
      <alignment horizontal="left" vertical="center" shrinkToFit="1"/>
    </xf>
    <xf numFmtId="0" fontId="12" fillId="0" borderId="62" xfId="0" applyFont="1" applyBorder="1" applyAlignment="1" applyProtection="1">
      <alignment horizontal="center" vertical="center" shrinkToFit="1"/>
    </xf>
    <xf numFmtId="0" fontId="12" fillId="0" borderId="63" xfId="0" applyFont="1" applyBorder="1" applyAlignment="1" applyProtection="1">
      <alignment horizontal="center" vertical="center" shrinkToFit="1"/>
    </xf>
    <xf numFmtId="0" fontId="4" fillId="0" borderId="62" xfId="0" applyFont="1" applyBorder="1" applyAlignment="1" applyProtection="1">
      <alignment horizontal="center" vertical="center" shrinkToFit="1"/>
    </xf>
    <xf numFmtId="0" fontId="4" fillId="0" borderId="64" xfId="0" applyFont="1" applyBorder="1" applyAlignment="1" applyProtection="1">
      <alignment horizontal="center" vertical="center" shrinkToFit="1"/>
    </xf>
    <xf numFmtId="49" fontId="4" fillId="5" borderId="0" xfId="2" applyNumberFormat="1" applyFont="1" applyFill="1" applyBorder="1" applyAlignment="1" applyProtection="1">
      <alignment horizontal="left" vertical="top" wrapText="1"/>
    </xf>
    <xf numFmtId="49" fontId="0" fillId="5" borderId="0" xfId="2" applyNumberFormat="1"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49" fontId="65" fillId="5" borderId="0" xfId="2" applyNumberFormat="1" applyFont="1" applyFill="1" applyBorder="1" applyAlignment="1" applyProtection="1">
      <alignment horizontal="left" vertical="top" wrapText="1"/>
    </xf>
    <xf numFmtId="192" fontId="5" fillId="5" borderId="0" xfId="1" applyNumberFormat="1" applyFont="1" applyFill="1" applyBorder="1" applyAlignment="1" applyProtection="1">
      <alignment horizontal="center" vertical="center"/>
    </xf>
    <xf numFmtId="0" fontId="12" fillId="0" borderId="49" xfId="0"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xf>
    <xf numFmtId="0" fontId="8" fillId="5" borderId="0" xfId="0" applyFont="1" applyFill="1" applyBorder="1" applyAlignment="1" applyProtection="1">
      <alignment horizontal="center" vertical="center" shrinkToFit="1"/>
    </xf>
    <xf numFmtId="0" fontId="8" fillId="5" borderId="9" xfId="0" applyFont="1" applyFill="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38" fontId="5" fillId="5" borderId="0" xfId="2" applyFont="1" applyFill="1" applyBorder="1" applyAlignment="1" applyProtection="1">
      <alignment horizontal="right" vertical="center" shrinkToFit="1"/>
    </xf>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49" fontId="0" fillId="5" borderId="28" xfId="2" applyNumberFormat="1" applyFont="1" applyFill="1" applyBorder="1" applyAlignment="1" applyProtection="1">
      <alignment horizontal="left" vertical="top" wrapText="1"/>
    </xf>
    <xf numFmtId="0" fontId="11" fillId="6" borderId="59" xfId="0" applyFont="1" applyFill="1" applyBorder="1" applyAlignment="1" applyProtection="1">
      <alignment horizontal="center" vertical="center"/>
    </xf>
    <xf numFmtId="0" fontId="11" fillId="6" borderId="60" xfId="0" applyFont="1" applyFill="1" applyBorder="1" applyAlignment="1" applyProtection="1">
      <alignment horizontal="center" vertical="center"/>
    </xf>
    <xf numFmtId="0" fontId="11" fillId="6" borderId="61" xfId="0" applyFont="1" applyFill="1" applyBorder="1" applyAlignment="1" applyProtection="1">
      <alignment horizontal="center" vertical="center"/>
    </xf>
    <xf numFmtId="0" fontId="11" fillId="6" borderId="23"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0" fillId="5" borderId="0" xfId="0" applyFont="1" applyFill="1" applyBorder="1" applyAlignment="1" applyProtection="1">
      <alignment horizontal="left" vertical="center" shrinkToFit="1"/>
    </xf>
    <xf numFmtId="0" fontId="10" fillId="5" borderId="9" xfId="0" applyFont="1" applyFill="1" applyBorder="1" applyAlignment="1" applyProtection="1">
      <alignment horizontal="left" vertical="center" shrinkToFit="1"/>
    </xf>
    <xf numFmtId="0" fontId="0" fillId="5" borderId="0" xfId="0" applyFont="1" applyFill="1" applyBorder="1" applyAlignment="1" applyProtection="1">
      <alignment horizontal="left" vertical="center"/>
    </xf>
    <xf numFmtId="49" fontId="5" fillId="5" borderId="0" xfId="2" applyNumberFormat="1" applyFont="1" applyFill="1" applyBorder="1" applyAlignment="1" applyProtection="1">
      <alignment horizontal="left" vertical="center" wrapText="1"/>
    </xf>
    <xf numFmtId="49" fontId="5" fillId="5" borderId="0" xfId="2" applyNumberFormat="1" applyFont="1" applyFill="1" applyBorder="1" applyAlignment="1" applyProtection="1">
      <alignment horizontal="left" vertical="top" wrapText="1"/>
    </xf>
    <xf numFmtId="0" fontId="0" fillId="5" borderId="0" xfId="0" applyFill="1" applyBorder="1" applyAlignment="1" applyProtection="1">
      <alignment horizontal="left" vertical="center" wrapText="1"/>
    </xf>
    <xf numFmtId="49" fontId="32" fillId="5" borderId="0" xfId="2" applyNumberFormat="1" applyFont="1" applyFill="1" applyBorder="1" applyAlignment="1" applyProtection="1">
      <alignment horizontal="left" vertical="center" wrapText="1"/>
    </xf>
    <xf numFmtId="0" fontId="12" fillId="0" borderId="69" xfId="0" applyFont="1" applyBorder="1" applyAlignment="1" applyProtection="1">
      <alignment horizontal="center" vertical="center" shrinkToFit="1"/>
    </xf>
    <xf numFmtId="0" fontId="71" fillId="5" borderId="0" xfId="2" applyNumberFormat="1" applyFont="1" applyFill="1" applyBorder="1" applyAlignment="1" applyProtection="1">
      <alignment horizontal="left" vertical="top" wrapText="1"/>
    </xf>
    <xf numFmtId="49" fontId="72" fillId="0" borderId="2" xfId="2" applyNumberFormat="1" applyFont="1" applyBorder="1" applyAlignment="1" applyProtection="1">
      <alignment horizontal="left" vertical="center" wrapText="1"/>
    </xf>
    <xf numFmtId="49" fontId="72" fillId="0" borderId="37" xfId="2" applyNumberFormat="1" applyFont="1" applyBorder="1" applyAlignment="1" applyProtection="1">
      <alignment horizontal="left" vertical="center" wrapText="1"/>
    </xf>
    <xf numFmtId="49" fontId="72" fillId="0" borderId="36" xfId="2" applyNumberFormat="1" applyFont="1" applyBorder="1" applyAlignment="1" applyProtection="1">
      <alignment horizontal="left" vertical="center" wrapText="1"/>
    </xf>
    <xf numFmtId="0" fontId="4" fillId="4" borderId="37" xfId="0" applyFont="1" applyFill="1" applyBorder="1" applyAlignment="1" applyProtection="1">
      <alignment horizontal="center" vertical="center" shrinkToFit="1"/>
      <protection locked="0"/>
    </xf>
    <xf numFmtId="0" fontId="4" fillId="4" borderId="36" xfId="0" applyFont="1" applyFill="1" applyBorder="1" applyAlignment="1" applyProtection="1">
      <alignment horizontal="center" vertical="center" shrinkToFit="1"/>
      <protection locked="0"/>
    </xf>
    <xf numFmtId="185" fontId="5" fillId="4" borderId="40" xfId="0" applyNumberFormat="1" applyFont="1" applyFill="1" applyBorder="1" applyAlignment="1" applyProtection="1">
      <alignment horizontal="center" vertical="center" shrinkToFit="1"/>
      <protection locked="0"/>
    </xf>
    <xf numFmtId="185" fontId="5" fillId="4" borderId="28" xfId="0" applyNumberFormat="1" applyFont="1" applyFill="1" applyBorder="1" applyAlignment="1" applyProtection="1">
      <alignment horizontal="center" vertical="center" shrinkToFit="1"/>
      <protection locked="0"/>
    </xf>
    <xf numFmtId="185" fontId="5" fillId="4" borderId="58" xfId="0" applyNumberFormat="1"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xf>
    <xf numFmtId="0" fontId="5" fillId="5" borderId="0" xfId="0" applyFont="1" applyFill="1" applyBorder="1" applyAlignment="1" applyProtection="1">
      <alignment horizontal="left" vertical="center" wrapText="1" shrinkToFit="1"/>
    </xf>
    <xf numFmtId="0" fontId="8" fillId="5" borderId="0" xfId="0" applyFont="1" applyFill="1" applyBorder="1" applyAlignment="1" applyProtection="1">
      <alignment vertical="center" shrinkToFit="1"/>
    </xf>
    <xf numFmtId="0" fontId="0" fillId="5" borderId="9" xfId="0" applyFill="1" applyBorder="1" applyAlignment="1" applyProtection="1">
      <alignment vertical="center" shrinkToFit="1"/>
    </xf>
    <xf numFmtId="0" fontId="5" fillId="0" borderId="0" xfId="0" applyFont="1" applyBorder="1" applyAlignment="1" applyProtection="1">
      <alignment horizontal="left" vertical="center"/>
    </xf>
    <xf numFmtId="0" fontId="5" fillId="0" borderId="43" xfId="0" applyFont="1" applyBorder="1" applyAlignment="1" applyProtection="1">
      <alignment horizontal="left" vertical="center"/>
    </xf>
    <xf numFmtId="0" fontId="4" fillId="0" borderId="63" xfId="0" applyFont="1" applyBorder="1" applyAlignment="1" applyProtection="1">
      <alignment horizontal="center" vertical="center" shrinkToFit="1"/>
    </xf>
    <xf numFmtId="0" fontId="5" fillId="5" borderId="0" xfId="0" applyFont="1" applyFill="1" applyBorder="1" applyAlignment="1" applyProtection="1">
      <alignment horizontal="left" vertical="center"/>
    </xf>
    <xf numFmtId="0" fontId="4" fillId="5" borderId="0" xfId="0" applyFont="1" applyFill="1" applyBorder="1" applyAlignment="1" applyProtection="1">
      <alignment horizontal="left" vertical="center" shrinkToFit="1"/>
    </xf>
    <xf numFmtId="0" fontId="5" fillId="5" borderId="0" xfId="0" applyFont="1" applyFill="1" applyBorder="1" applyAlignment="1" applyProtection="1">
      <alignment horizontal="left" vertical="center" shrinkToFit="1"/>
    </xf>
    <xf numFmtId="0" fontId="5" fillId="0" borderId="65"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6" xfId="0" applyFont="1" applyBorder="1" applyAlignment="1" applyProtection="1">
      <alignment horizontal="center" vertical="center" shrinkToFit="1"/>
    </xf>
    <xf numFmtId="185" fontId="5" fillId="2" borderId="67" xfId="0" applyNumberFormat="1" applyFont="1" applyFill="1" applyBorder="1" applyAlignment="1" applyProtection="1">
      <alignment horizontal="center" vertical="center" shrinkToFit="1"/>
      <protection locked="0"/>
    </xf>
    <xf numFmtId="185" fontId="5" fillId="2" borderId="68" xfId="0" applyNumberFormat="1" applyFont="1" applyFill="1" applyBorder="1" applyAlignment="1" applyProtection="1">
      <alignment horizontal="center" vertical="center" shrinkToFit="1"/>
      <protection locked="0"/>
    </xf>
    <xf numFmtId="0" fontId="8" fillId="0" borderId="65" xfId="0" applyFont="1" applyBorder="1" applyAlignment="1" applyProtection="1">
      <alignment horizontal="center" vertical="center" wrapText="1" shrinkToFit="1"/>
    </xf>
    <xf numFmtId="0" fontId="8" fillId="0" borderId="51" xfId="0" applyFont="1" applyBorder="1" applyAlignment="1" applyProtection="1">
      <alignment horizontal="center" vertical="center" shrinkToFit="1"/>
    </xf>
    <xf numFmtId="185" fontId="5" fillId="2" borderId="48" xfId="0" applyNumberFormat="1" applyFont="1" applyFill="1" applyBorder="1" applyAlignment="1" applyProtection="1">
      <alignment horizontal="center" vertical="center" shrinkToFit="1"/>
      <protection locked="0"/>
    </xf>
    <xf numFmtId="185" fontId="5" fillId="2" borderId="49" xfId="0" applyNumberFormat="1" applyFont="1" applyFill="1" applyBorder="1" applyAlignment="1" applyProtection="1">
      <alignment horizontal="center" vertical="center" shrinkToFit="1"/>
      <protection locked="0"/>
    </xf>
    <xf numFmtId="0" fontId="4" fillId="5" borderId="0" xfId="0" applyFont="1" applyFill="1" applyBorder="1" applyAlignment="1" applyProtection="1">
      <alignment horizontal="left" vertical="center"/>
    </xf>
    <xf numFmtId="0" fontId="8" fillId="5" borderId="0" xfId="0" applyFont="1" applyFill="1" applyBorder="1" applyAlignment="1" applyProtection="1">
      <alignment horizontal="left" vertical="center" shrinkToFit="1"/>
    </xf>
    <xf numFmtId="0" fontId="8" fillId="5" borderId="9" xfId="0" applyFont="1" applyFill="1" applyBorder="1" applyAlignment="1" applyProtection="1">
      <alignment horizontal="left" vertical="center" shrinkToFit="1"/>
    </xf>
    <xf numFmtId="0" fontId="49" fillId="5" borderId="0" xfId="0" applyFont="1" applyFill="1" applyBorder="1" applyAlignment="1" applyProtection="1">
      <alignment horizontal="left" vertical="center" wrapText="1"/>
    </xf>
    <xf numFmtId="0" fontId="5" fillId="5" borderId="0" xfId="0" applyFont="1" applyFill="1" applyBorder="1" applyAlignment="1" applyProtection="1">
      <alignment horizontal="left" vertical="top" wrapText="1" shrinkToFit="1"/>
    </xf>
    <xf numFmtId="0" fontId="12" fillId="0" borderId="64" xfId="0" applyFont="1" applyBorder="1" applyAlignment="1" applyProtection="1">
      <alignment horizontal="center" vertical="center" shrinkToFit="1"/>
    </xf>
    <xf numFmtId="185" fontId="5" fillId="2" borderId="10" xfId="0" applyNumberFormat="1" applyFont="1" applyFill="1" applyBorder="1" applyAlignment="1" applyProtection="1">
      <alignment horizontal="center" vertical="center" shrinkToFit="1"/>
      <protection locked="0"/>
    </xf>
    <xf numFmtId="185" fontId="5" fillId="2" borderId="21" xfId="0" applyNumberFormat="1" applyFont="1" applyFill="1" applyBorder="1" applyAlignment="1" applyProtection="1">
      <alignment horizontal="center" vertical="center" shrinkToFit="1"/>
      <protection locked="0"/>
    </xf>
    <xf numFmtId="185" fontId="5" fillId="2" borderId="57" xfId="0" applyNumberFormat="1" applyFont="1" applyFill="1" applyBorder="1" applyAlignment="1" applyProtection="1">
      <alignment horizontal="center" vertical="center" shrinkToFit="1"/>
      <protection locked="0"/>
    </xf>
    <xf numFmtId="0" fontId="8" fillId="5" borderId="9" xfId="0" applyFont="1" applyFill="1" applyBorder="1" applyAlignment="1" applyProtection="1">
      <alignment vertical="center" shrinkToFit="1"/>
    </xf>
    <xf numFmtId="0" fontId="5" fillId="5" borderId="0" xfId="0" applyFont="1" applyFill="1" applyBorder="1" applyAlignment="1" applyProtection="1">
      <alignment horizontal="left" vertical="center" wrapText="1"/>
    </xf>
    <xf numFmtId="0" fontId="5" fillId="5" borderId="0" xfId="0" applyFont="1" applyFill="1" applyBorder="1" applyAlignment="1" applyProtection="1">
      <alignment horizontal="left" vertical="top" shrinkToFit="1"/>
    </xf>
    <xf numFmtId="0" fontId="12" fillId="0" borderId="48" xfId="0" applyFont="1" applyBorder="1" applyAlignment="1" applyProtection="1">
      <alignment horizontal="center" vertical="center" shrinkToFit="1"/>
    </xf>
    <xf numFmtId="0" fontId="12" fillId="0" borderId="50" xfId="0" applyFont="1" applyBorder="1" applyAlignment="1" applyProtection="1">
      <alignment horizontal="center" vertical="center" shrinkToFit="1"/>
    </xf>
    <xf numFmtId="0" fontId="5" fillId="5" borderId="9" xfId="0" applyFont="1" applyFill="1" applyBorder="1" applyAlignment="1" applyProtection="1">
      <alignment horizontal="left" vertical="top" wrapText="1"/>
    </xf>
    <xf numFmtId="0" fontId="6" fillId="0" borderId="49" xfId="0" applyFont="1" applyBorder="1" applyAlignment="1" applyProtection="1">
      <alignment horizontal="center" vertical="center" shrinkToFit="1"/>
    </xf>
    <xf numFmtId="0" fontId="0" fillId="0" borderId="49" xfId="0" applyBorder="1" applyAlignment="1" applyProtection="1">
      <alignment horizontal="center" vertical="center" shrinkToFit="1"/>
    </xf>
    <xf numFmtId="0" fontId="0" fillId="0" borderId="50" xfId="0" applyBorder="1" applyAlignment="1" applyProtection="1">
      <alignment horizontal="center" vertical="center" shrinkToFit="1"/>
    </xf>
    <xf numFmtId="0" fontId="0" fillId="5" borderId="9" xfId="0" applyFill="1" applyBorder="1" applyAlignment="1" applyProtection="1">
      <alignment vertical="center"/>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12" xfId="0" applyBorder="1" applyAlignment="1" applyProtection="1">
      <alignment horizontal="center" vertical="center" shrinkToFit="1"/>
    </xf>
    <xf numFmtId="0" fontId="8" fillId="5" borderId="0"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xf>
    <xf numFmtId="0" fontId="8" fillId="5" borderId="9" xfId="0" applyFont="1" applyFill="1" applyBorder="1" applyAlignment="1" applyProtection="1">
      <alignment horizontal="left" vertical="center"/>
    </xf>
    <xf numFmtId="0" fontId="5" fillId="5" borderId="43" xfId="0" applyFont="1" applyFill="1" applyBorder="1" applyAlignment="1" applyProtection="1">
      <alignment horizontal="left" vertical="center"/>
    </xf>
    <xf numFmtId="0" fontId="5" fillId="5" borderId="45" xfId="0" applyFont="1" applyFill="1" applyBorder="1" applyAlignment="1" applyProtection="1">
      <alignment horizontal="left" vertical="center"/>
    </xf>
    <xf numFmtId="0" fontId="5" fillId="0" borderId="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65" xfId="0" applyFont="1" applyBorder="1" applyAlignment="1" applyProtection="1">
      <alignment horizontal="center" vertical="center" wrapText="1" shrinkToFit="1"/>
    </xf>
    <xf numFmtId="0" fontId="10" fillId="5" borderId="0" xfId="0" applyFont="1" applyFill="1" applyBorder="1" applyAlignment="1" applyProtection="1">
      <alignment horizontal="left" vertical="top" wrapText="1"/>
    </xf>
    <xf numFmtId="0" fontId="5" fillId="5" borderId="0" xfId="0" applyFont="1" applyFill="1" applyBorder="1" applyAlignment="1" applyProtection="1">
      <alignment horizontal="left" shrinkToFit="1"/>
    </xf>
  </cellXfs>
  <cellStyles count="3">
    <cellStyle name="パーセント" xfId="1" builtinId="5"/>
    <cellStyle name="桁区切り" xfId="2" builtinId="6"/>
    <cellStyle name="標準"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font>
    </dxf>
    <dxf>
      <font>
        <color rgb="FFFF0000"/>
      </font>
    </dxf>
    <dxf>
      <font>
        <color rgb="FFFF0000"/>
      </font>
    </dxf>
    <dxf>
      <font>
        <color rgb="FFFF0000"/>
      </font>
    </dxf>
    <dxf>
      <font>
        <b/>
        <i val="0"/>
        <color auto="1"/>
      </font>
      <fill>
        <patternFill>
          <bgColor rgb="FFFFFF00"/>
        </patternFill>
      </fill>
    </dxf>
    <dxf>
      <font>
        <b/>
        <i val="0"/>
        <color auto="1"/>
      </font>
      <fill>
        <patternFill>
          <bgColor rgb="FFFFFF00"/>
        </patternFill>
      </fill>
    </dxf>
    <dxf>
      <font>
        <color theme="1"/>
      </font>
      <fill>
        <patternFill>
          <bgColor rgb="FFCCFFFF"/>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ont>
        <b/>
        <i val="0"/>
      </font>
      <fill>
        <patternFill>
          <bgColor rgb="FFCCFFFF"/>
        </patternFill>
      </fill>
      <border>
        <left style="thin">
          <color indexed="64"/>
        </left>
        <right style="thin">
          <color indexed="64"/>
        </right>
        <top style="thin">
          <color indexed="64"/>
        </top>
        <bottom style="thin">
          <color indexed="64"/>
        </bottom>
      </border>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1.jpeg"/><Relationship Id="rId5" Type="http://schemas.openxmlformats.org/officeDocument/2006/relationships/image" Target="../media/image8.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1.jpeg"/><Relationship Id="rId5" Type="http://schemas.openxmlformats.org/officeDocument/2006/relationships/image" Target="../media/image10.emf"/><Relationship Id="rId4" Type="http://schemas.openxmlformats.org/officeDocument/2006/relationships/image" Target="../media/image5.emf"/></Relationships>
</file>

<file path=xl/drawings/_rels/drawing5.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2.emf"/><Relationship Id="rId7" Type="http://schemas.openxmlformats.org/officeDocument/2006/relationships/image" Target="../media/image13.emf"/><Relationship Id="rId2" Type="http://schemas.openxmlformats.org/officeDocument/2006/relationships/image" Target="../media/image11.png"/><Relationship Id="rId1" Type="http://schemas.openxmlformats.org/officeDocument/2006/relationships/image" Target="../media/image1.jpeg"/><Relationship Id="rId6" Type="http://schemas.openxmlformats.org/officeDocument/2006/relationships/image" Target="../media/image12.emf"/><Relationship Id="rId5" Type="http://schemas.openxmlformats.org/officeDocument/2006/relationships/image" Target="../media/image5.emf"/><Relationship Id="rId4" Type="http://schemas.openxmlformats.org/officeDocument/2006/relationships/image" Target="../media/image7.emf"/></Relationships>
</file>

<file path=xl/drawings/_rels/drawing6.xml.rels><?xml version="1.0" encoding="UTF-8" standalone="yes"?>
<Relationships xmlns="http://schemas.openxmlformats.org/package/2006/relationships"><Relationship Id="rId8" Type="http://schemas.openxmlformats.org/officeDocument/2006/relationships/image" Target="../media/image19.emf"/><Relationship Id="rId13" Type="http://schemas.openxmlformats.org/officeDocument/2006/relationships/image" Target="../media/image24.emf"/><Relationship Id="rId18" Type="http://schemas.openxmlformats.org/officeDocument/2006/relationships/image" Target="../media/image29.emf"/><Relationship Id="rId3" Type="http://schemas.openxmlformats.org/officeDocument/2006/relationships/image" Target="../media/image15.emf"/><Relationship Id="rId7" Type="http://schemas.openxmlformats.org/officeDocument/2006/relationships/image" Target="../media/image18.emf"/><Relationship Id="rId12" Type="http://schemas.openxmlformats.org/officeDocument/2006/relationships/image" Target="../media/image23.emf"/><Relationship Id="rId17" Type="http://schemas.openxmlformats.org/officeDocument/2006/relationships/image" Target="../media/image28.emf"/><Relationship Id="rId2" Type="http://schemas.openxmlformats.org/officeDocument/2006/relationships/image" Target="../media/image7.emf"/><Relationship Id="rId16" Type="http://schemas.openxmlformats.org/officeDocument/2006/relationships/image" Target="../media/image27.emf"/><Relationship Id="rId1" Type="http://schemas.openxmlformats.org/officeDocument/2006/relationships/image" Target="../media/image2.emf"/><Relationship Id="rId6" Type="http://schemas.openxmlformats.org/officeDocument/2006/relationships/image" Target="../media/image17.emf"/><Relationship Id="rId11" Type="http://schemas.openxmlformats.org/officeDocument/2006/relationships/image" Target="../media/image22.emf"/><Relationship Id="rId5" Type="http://schemas.openxmlformats.org/officeDocument/2006/relationships/image" Target="../media/image16.emf"/><Relationship Id="rId15" Type="http://schemas.openxmlformats.org/officeDocument/2006/relationships/image" Target="../media/image26.emf"/><Relationship Id="rId10" Type="http://schemas.openxmlformats.org/officeDocument/2006/relationships/image" Target="../media/image21.emf"/><Relationship Id="rId4" Type="http://schemas.openxmlformats.org/officeDocument/2006/relationships/image" Target="../media/image5.emf"/><Relationship Id="rId9" Type="http://schemas.openxmlformats.org/officeDocument/2006/relationships/image" Target="../media/image20.emf"/><Relationship Id="rId14" Type="http://schemas.openxmlformats.org/officeDocument/2006/relationships/image" Target="../media/image25.emf"/></Relationships>
</file>

<file path=xl/drawings/_rels/drawing7.xml.rels><?xml version="1.0" encoding="UTF-8" standalone="yes"?>
<Relationships xmlns="http://schemas.openxmlformats.org/package/2006/relationships"><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editAs="oneCell">
    <xdr:from>
      <xdr:col>5</xdr:col>
      <xdr:colOff>510540</xdr:colOff>
      <xdr:row>120</xdr:row>
      <xdr:rowOff>60960</xdr:rowOff>
    </xdr:from>
    <xdr:to>
      <xdr:col>10</xdr:col>
      <xdr:colOff>205740</xdr:colOff>
      <xdr:row>129</xdr:row>
      <xdr:rowOff>140970</xdr:rowOff>
    </xdr:to>
    <xdr:pic>
      <xdr:nvPicPr>
        <xdr:cNvPr id="1561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2840" y="24587835"/>
          <a:ext cx="3000375" cy="183261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0</xdr:colOff>
      <xdr:row>120</xdr:row>
      <xdr:rowOff>66675</xdr:rowOff>
    </xdr:from>
    <xdr:to>
      <xdr:col>5</xdr:col>
      <xdr:colOff>57150</xdr:colOff>
      <xdr:row>129</xdr:row>
      <xdr:rowOff>161925</xdr:rowOff>
    </xdr:to>
    <xdr:pic>
      <xdr:nvPicPr>
        <xdr:cNvPr id="1561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4593550"/>
          <a:ext cx="2695575" cy="18478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4</xdr:col>
      <xdr:colOff>251460</xdr:colOff>
      <xdr:row>23</xdr:row>
      <xdr:rowOff>76200</xdr:rowOff>
    </xdr:from>
    <xdr:to>
      <xdr:col>7</xdr:col>
      <xdr:colOff>335280</xdr:colOff>
      <xdr:row>25</xdr:row>
      <xdr:rowOff>152400</xdr:rowOff>
    </xdr:to>
    <xdr:pic>
      <xdr:nvPicPr>
        <xdr:cNvPr id="15621" name="図 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648" r="32536"/>
        <a:stretch>
          <a:fillRect/>
        </a:stretch>
      </xdr:blipFill>
      <xdr:spPr bwMode="auto">
        <a:xfrm>
          <a:off x="2575560" y="4732020"/>
          <a:ext cx="198882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228599</xdr:colOff>
      <xdr:row>23</xdr:row>
      <xdr:rowOff>45720</xdr:rowOff>
    </xdr:from>
    <xdr:to>
      <xdr:col>3</xdr:col>
      <xdr:colOff>346324</xdr:colOff>
      <xdr:row>25</xdr:row>
      <xdr:rowOff>175260</xdr:rowOff>
    </xdr:to>
    <xdr:pic>
      <xdr:nvPicPr>
        <xdr:cNvPr id="15622" name="図 1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793" r="42372"/>
        <a:stretch>
          <a:fillRect/>
        </a:stretch>
      </xdr:blipFill>
      <xdr:spPr bwMode="auto">
        <a:xfrm>
          <a:off x="1437953" y="4749358"/>
          <a:ext cx="1061021" cy="514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11</xdr:row>
      <xdr:rowOff>28575</xdr:rowOff>
    </xdr:from>
    <xdr:to>
      <xdr:col>4</xdr:col>
      <xdr:colOff>75767</xdr:colOff>
      <xdr:row>12</xdr:row>
      <xdr:rowOff>67054</xdr:rowOff>
    </xdr:to>
    <xdr:pic>
      <xdr:nvPicPr>
        <xdr:cNvPr id="18" name="図 17"/>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9827" r="39126"/>
        <a:stretch/>
      </xdr:blipFill>
      <xdr:spPr bwMode="auto">
        <a:xfrm>
          <a:off x="1266825" y="2228850"/>
          <a:ext cx="1637867" cy="505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438150</xdr:colOff>
      <xdr:row>64</xdr:row>
      <xdr:rowOff>0</xdr:rowOff>
    </xdr:from>
    <xdr:to>
      <xdr:col>3</xdr:col>
      <xdr:colOff>666317</xdr:colOff>
      <xdr:row>64</xdr:row>
      <xdr:rowOff>505204</xdr:rowOff>
    </xdr:to>
    <xdr:pic>
      <xdr:nvPicPr>
        <xdr:cNvPr id="19" name="図 18"/>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9827" r="39126"/>
        <a:stretch/>
      </xdr:blipFill>
      <xdr:spPr bwMode="auto">
        <a:xfrm>
          <a:off x="1181100" y="12887325"/>
          <a:ext cx="1637867" cy="50520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19050</xdr:colOff>
      <xdr:row>72</xdr:row>
      <xdr:rowOff>47625</xdr:rowOff>
    </xdr:from>
    <xdr:to>
      <xdr:col>3</xdr:col>
      <xdr:colOff>647700</xdr:colOff>
      <xdr:row>73</xdr:row>
      <xdr:rowOff>437146</xdr:rowOff>
    </xdr:to>
    <xdr:pic>
      <xdr:nvPicPr>
        <xdr:cNvPr id="20" name="図 19"/>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9827" r="39126"/>
        <a:stretch/>
      </xdr:blipFill>
      <xdr:spPr bwMode="auto">
        <a:xfrm>
          <a:off x="1228725" y="14944725"/>
          <a:ext cx="1571625" cy="48477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333375</xdr:colOff>
      <xdr:row>39</xdr:row>
      <xdr:rowOff>152400</xdr:rowOff>
    </xdr:from>
    <xdr:to>
      <xdr:col>4</xdr:col>
      <xdr:colOff>290904</xdr:colOff>
      <xdr:row>39</xdr:row>
      <xdr:rowOff>362264</xdr:rowOff>
    </xdr:to>
    <xdr:pic>
      <xdr:nvPicPr>
        <xdr:cNvPr id="21" name="図 20"/>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2238375" y="7658100"/>
          <a:ext cx="633804"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190500</xdr:colOff>
      <xdr:row>46</xdr:row>
      <xdr:rowOff>19050</xdr:rowOff>
    </xdr:from>
    <xdr:to>
      <xdr:col>10</xdr:col>
      <xdr:colOff>26705</xdr:colOff>
      <xdr:row>49</xdr:row>
      <xdr:rowOff>109858</xdr:rowOff>
    </xdr:to>
    <xdr:pic>
      <xdr:nvPicPr>
        <xdr:cNvPr id="22" name="図 2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5391"/>
        <a:stretch/>
      </xdr:blipFill>
      <xdr:spPr bwMode="auto">
        <a:xfrm>
          <a:off x="933450" y="9315450"/>
          <a:ext cx="5779805" cy="66230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66675</xdr:colOff>
      <xdr:row>38</xdr:row>
      <xdr:rowOff>180975</xdr:rowOff>
    </xdr:from>
    <xdr:to>
      <xdr:col>6</xdr:col>
      <xdr:colOff>573005</xdr:colOff>
      <xdr:row>39</xdr:row>
      <xdr:rowOff>438909</xdr:rowOff>
    </xdr:to>
    <xdr:pic>
      <xdr:nvPicPr>
        <xdr:cNvPr id="23" name="図 22"/>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76640"/>
        <a:stretch/>
      </xdr:blipFill>
      <xdr:spPr bwMode="auto">
        <a:xfrm>
          <a:off x="3200400" y="7734300"/>
          <a:ext cx="1449305" cy="46748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297180</xdr:colOff>
      <xdr:row>76</xdr:row>
      <xdr:rowOff>76200</xdr:rowOff>
    </xdr:from>
    <xdr:to>
      <xdr:col>8</xdr:col>
      <xdr:colOff>108983</xdr:colOff>
      <xdr:row>87</xdr:row>
      <xdr:rowOff>114300</xdr:rowOff>
    </xdr:to>
    <xdr:pic>
      <xdr:nvPicPr>
        <xdr:cNvPr id="1638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 y="15133320"/>
          <a:ext cx="4160520" cy="201168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19050</xdr:colOff>
      <xdr:row>0</xdr:row>
      <xdr:rowOff>95250</xdr:rowOff>
    </xdr:from>
    <xdr:to>
      <xdr:col>10</xdr:col>
      <xdr:colOff>400050</xdr:colOff>
      <xdr:row>106</xdr:row>
      <xdr:rowOff>66675</xdr:rowOff>
    </xdr:to>
    <xdr:sp macro="" textlink="$M$11">
      <xdr:nvSpPr>
        <xdr:cNvPr id="2" name="正方形/長方形 1"/>
        <xdr:cNvSpPr/>
      </xdr:nvSpPr>
      <xdr:spPr>
        <a:xfrm>
          <a:off x="19050" y="95250"/>
          <a:ext cx="6035040" cy="202177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l"/>
          <a:fld id="{2D17B8E2-B5CD-46EC-B32E-DA7CF3814B05}" type="TxLink">
            <a:rPr kumimoji="1" lang="en-US" altLang="en-US" sz="6000" b="1" i="0" u="none" strike="noStrike">
              <a:solidFill>
                <a:srgbClr val="FF0000"/>
              </a:solidFill>
              <a:latin typeface="HG丸ｺﾞｼｯｸM-PRO" panose="020F0600000000000000" pitchFamily="50" charset="-128"/>
              <a:ea typeface="HG丸ｺﾞｼｯｸM-PRO" panose="020F0600000000000000" pitchFamily="50" charset="-128"/>
            </a:rPr>
            <a:pPr algn="l"/>
            <a:t> 別のシートを使用してください</a:t>
          </a:fld>
          <a:endParaRPr kumimoji="1" lang="ja-JP" altLang="en-US" sz="6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2</xdr:col>
      <xdr:colOff>281940</xdr:colOff>
      <xdr:row>63</xdr:row>
      <xdr:rowOff>91440</xdr:rowOff>
    </xdr:from>
    <xdr:to>
      <xdr:col>5</xdr:col>
      <xdr:colOff>13335</xdr:colOff>
      <xdr:row>65</xdr:row>
      <xdr:rowOff>182880</xdr:rowOff>
    </xdr:to>
    <xdr:pic>
      <xdr:nvPicPr>
        <xdr:cNvPr id="16390"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6640"/>
        <a:stretch>
          <a:fillRect/>
        </a:stretch>
      </xdr:blipFill>
      <xdr:spPr bwMode="auto">
        <a:xfrm>
          <a:off x="1767840" y="12540615"/>
          <a:ext cx="149352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xdr:colOff>
      <xdr:row>44</xdr:row>
      <xdr:rowOff>60960</xdr:rowOff>
    </xdr:from>
    <xdr:to>
      <xdr:col>4</xdr:col>
      <xdr:colOff>286591</xdr:colOff>
      <xdr:row>47</xdr:row>
      <xdr:rowOff>0</xdr:rowOff>
    </xdr:to>
    <xdr:pic>
      <xdr:nvPicPr>
        <xdr:cNvPr id="16391" name="図 1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648" r="32536"/>
        <a:stretch>
          <a:fillRect/>
        </a:stretch>
      </xdr:blipFill>
      <xdr:spPr bwMode="auto">
        <a:xfrm>
          <a:off x="701040" y="8503920"/>
          <a:ext cx="211836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63</xdr:row>
      <xdr:rowOff>161925</xdr:rowOff>
    </xdr:from>
    <xdr:to>
      <xdr:col>1</xdr:col>
      <xdr:colOff>852880</xdr:colOff>
      <xdr:row>64</xdr:row>
      <xdr:rowOff>181289</xdr:rowOff>
    </xdr:to>
    <xdr:pic>
      <xdr:nvPicPr>
        <xdr:cNvPr id="9" name="図 8"/>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762000" y="12611100"/>
          <a:ext cx="633805" cy="209864"/>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28575</xdr:colOff>
      <xdr:row>0</xdr:row>
      <xdr:rowOff>123825</xdr:rowOff>
    </xdr:from>
    <xdr:to>
      <xdr:col>10</xdr:col>
      <xdr:colOff>409575</xdr:colOff>
      <xdr:row>106</xdr:row>
      <xdr:rowOff>95250</xdr:rowOff>
    </xdr:to>
    <xdr:sp macro="" textlink="$M$11">
      <xdr:nvSpPr>
        <xdr:cNvPr id="8" name="正方形/長方形 7"/>
        <xdr:cNvSpPr/>
      </xdr:nvSpPr>
      <xdr:spPr>
        <a:xfrm>
          <a:off x="28575" y="123825"/>
          <a:ext cx="6705600" cy="20974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l"/>
          <a:fld id="{2D17B8E2-B5CD-46EC-B32E-DA7CF3814B05}" type="TxLink">
            <a:rPr kumimoji="1" lang="en-US" altLang="en-US" sz="6000" b="1" i="0" u="none" strike="noStrike">
              <a:solidFill>
                <a:srgbClr val="FF0000"/>
              </a:solidFill>
              <a:latin typeface="HG丸ｺﾞｼｯｸM-PRO" panose="020F0600000000000000" pitchFamily="50" charset="-128"/>
              <a:ea typeface="HG丸ｺﾞｼｯｸM-PRO" panose="020F0600000000000000" pitchFamily="50" charset="-128"/>
            </a:rPr>
            <a:pPr algn="l"/>
            <a:t> 別のシートを使用してください</a:t>
          </a:fld>
          <a:endParaRPr kumimoji="1" lang="ja-JP" altLang="en-US" sz="6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523875</xdr:colOff>
      <xdr:row>32</xdr:row>
      <xdr:rowOff>28575</xdr:rowOff>
    </xdr:from>
    <xdr:to>
      <xdr:col>2</xdr:col>
      <xdr:colOff>179070</xdr:colOff>
      <xdr:row>35</xdr:row>
      <xdr:rowOff>69215</xdr:rowOff>
    </xdr:to>
    <xdr:pic>
      <xdr:nvPicPr>
        <xdr:cNvPr id="11" name="図 10"/>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1535" r="40844"/>
        <a:stretch/>
      </xdr:blipFill>
      <xdr:spPr bwMode="auto">
        <a:xfrm>
          <a:off x="523875" y="6372225"/>
          <a:ext cx="1141095" cy="4597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xdr:colOff>
      <xdr:row>72</xdr:row>
      <xdr:rowOff>22860</xdr:rowOff>
    </xdr:from>
    <xdr:to>
      <xdr:col>6</xdr:col>
      <xdr:colOff>118586</xdr:colOff>
      <xdr:row>82</xdr:row>
      <xdr:rowOff>106680</xdr:rowOff>
    </xdr:to>
    <xdr:pic>
      <xdr:nvPicPr>
        <xdr:cNvPr id="1741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 y="14721840"/>
          <a:ext cx="4130040" cy="193548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9525</xdr:colOff>
      <xdr:row>1</xdr:row>
      <xdr:rowOff>28575</xdr:rowOff>
    </xdr:from>
    <xdr:to>
      <xdr:col>9</xdr:col>
      <xdr:colOff>361950</xdr:colOff>
      <xdr:row>81</xdr:row>
      <xdr:rowOff>66676</xdr:rowOff>
    </xdr:to>
    <xdr:sp macro="" textlink="$M$11">
      <xdr:nvSpPr>
        <xdr:cNvPr id="8" name="正方形/長方形 7"/>
        <xdr:cNvSpPr/>
      </xdr:nvSpPr>
      <xdr:spPr>
        <a:xfrm>
          <a:off x="9525" y="219075"/>
          <a:ext cx="6800850" cy="15906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l"/>
          <a:fld id="{C2BA97F1-3CEE-43FE-908A-26F658391A70}" type="TxLink">
            <a:rPr kumimoji="1" lang="en-US" altLang="en-US" sz="6000" b="1" i="0" u="none" strike="noStrike">
              <a:solidFill>
                <a:srgbClr val="FF0000"/>
              </a:solidFill>
              <a:latin typeface="HG丸ｺﾞｼｯｸM-PRO" panose="020F0600000000000000" pitchFamily="50" charset="-128"/>
              <a:ea typeface="HG丸ｺﾞｼｯｸM-PRO" panose="020F0600000000000000" pitchFamily="50" charset="-128"/>
            </a:rPr>
            <a:pPr algn="l"/>
            <a:t> 別のシートを使用してください</a:t>
          </a:fld>
          <a:endParaRPr kumimoji="1" lang="ja-JP" altLang="en-US" sz="6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42623</xdr:colOff>
      <xdr:row>44</xdr:row>
      <xdr:rowOff>158353</xdr:rowOff>
    </xdr:from>
    <xdr:to>
      <xdr:col>3</xdr:col>
      <xdr:colOff>608407</xdr:colOff>
      <xdr:row>47</xdr:row>
      <xdr:rowOff>37862</xdr:rowOff>
    </xdr:to>
    <xdr:pic>
      <xdr:nvPicPr>
        <xdr:cNvPr id="17413"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648" r="32536"/>
        <a:stretch>
          <a:fillRect/>
        </a:stretch>
      </xdr:blipFill>
      <xdr:spPr bwMode="auto">
        <a:xfrm>
          <a:off x="652223" y="8483203"/>
          <a:ext cx="2318384" cy="508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xdr:colOff>
      <xdr:row>62</xdr:row>
      <xdr:rowOff>60960</xdr:rowOff>
    </xdr:from>
    <xdr:to>
      <xdr:col>4</xdr:col>
      <xdr:colOff>68580</xdr:colOff>
      <xdr:row>64</xdr:row>
      <xdr:rowOff>152400</xdr:rowOff>
    </xdr:to>
    <xdr:pic>
      <xdr:nvPicPr>
        <xdr:cNvPr id="17415" name="図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76640"/>
        <a:stretch>
          <a:fillRect/>
        </a:stretch>
      </xdr:blipFill>
      <xdr:spPr bwMode="auto">
        <a:xfrm>
          <a:off x="2209800" y="12748260"/>
          <a:ext cx="13563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63</xdr:row>
      <xdr:rowOff>19050</xdr:rowOff>
    </xdr:from>
    <xdr:to>
      <xdr:col>2</xdr:col>
      <xdr:colOff>690954</xdr:colOff>
      <xdr:row>64</xdr:row>
      <xdr:rowOff>38414</xdr:rowOff>
    </xdr:to>
    <xdr:pic>
      <xdr:nvPicPr>
        <xdr:cNvPr id="9" name="図 8"/>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1352550" y="12934950"/>
          <a:ext cx="633804"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590550</xdr:colOff>
      <xdr:row>33</xdr:row>
      <xdr:rowOff>0</xdr:rowOff>
    </xdr:from>
    <xdr:to>
      <xdr:col>3</xdr:col>
      <xdr:colOff>69850</xdr:colOff>
      <xdr:row>35</xdr:row>
      <xdr:rowOff>126365</xdr:rowOff>
    </xdr:to>
    <xdr:pic>
      <xdr:nvPicPr>
        <xdr:cNvPr id="11" name="図 10"/>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051" r="35809"/>
        <a:stretch/>
      </xdr:blipFill>
      <xdr:spPr bwMode="auto">
        <a:xfrm>
          <a:off x="590550" y="6524625"/>
          <a:ext cx="1822450" cy="4597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xdr:colOff>
      <xdr:row>71</xdr:row>
      <xdr:rowOff>22860</xdr:rowOff>
    </xdr:from>
    <xdr:to>
      <xdr:col>6</xdr:col>
      <xdr:colOff>180829</xdr:colOff>
      <xdr:row>81</xdr:row>
      <xdr:rowOff>106682</xdr:rowOff>
    </xdr:to>
    <xdr:pic>
      <xdr:nvPicPr>
        <xdr:cNvPr id="18434"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 y="14607540"/>
          <a:ext cx="4130040" cy="193548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0</xdr:colOff>
      <xdr:row>1</xdr:row>
      <xdr:rowOff>66675</xdr:rowOff>
    </xdr:from>
    <xdr:to>
      <xdr:col>9</xdr:col>
      <xdr:colOff>352425</xdr:colOff>
      <xdr:row>80</xdr:row>
      <xdr:rowOff>104776</xdr:rowOff>
    </xdr:to>
    <xdr:sp macro="" textlink="$M$11">
      <xdr:nvSpPr>
        <xdr:cNvPr id="9" name="正方形/長方形 8"/>
        <xdr:cNvSpPr/>
      </xdr:nvSpPr>
      <xdr:spPr>
        <a:xfrm>
          <a:off x="0" y="257175"/>
          <a:ext cx="6886575" cy="16116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l"/>
          <a:fld id="{FAAE2D51-FBD1-4D50-8E09-D6B8C601D7B8}" type="TxLink">
            <a:rPr kumimoji="1" lang="en-US" altLang="en-US" sz="6000" b="1" i="0" u="none" strike="noStrike">
              <a:solidFill>
                <a:srgbClr val="FF0000"/>
              </a:solidFill>
              <a:latin typeface="HG丸ｺﾞｼｯｸM-PRO" panose="020F0600000000000000" pitchFamily="50" charset="-128"/>
              <a:ea typeface="HG丸ｺﾞｼｯｸM-PRO" panose="020F0600000000000000" pitchFamily="50" charset="-128"/>
            </a:rPr>
            <a:pPr algn="l"/>
            <a:t> 別のシートを使用してください</a:t>
          </a:fld>
          <a:endParaRPr kumimoji="1" lang="ja-JP" altLang="en-US" sz="6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3</xdr:col>
      <xdr:colOff>91440</xdr:colOff>
      <xdr:row>62</xdr:row>
      <xdr:rowOff>114300</xdr:rowOff>
    </xdr:from>
    <xdr:to>
      <xdr:col>4</xdr:col>
      <xdr:colOff>129118</xdr:colOff>
      <xdr:row>65</xdr:row>
      <xdr:rowOff>15240</xdr:rowOff>
    </xdr:to>
    <xdr:pic>
      <xdr:nvPicPr>
        <xdr:cNvPr id="18438"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6640"/>
        <a:stretch>
          <a:fillRect/>
        </a:stretch>
      </xdr:blipFill>
      <xdr:spPr bwMode="auto">
        <a:xfrm>
          <a:off x="2217420" y="12771120"/>
          <a:ext cx="13563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22567</xdr:colOff>
      <xdr:row>44</xdr:row>
      <xdr:rowOff>224791</xdr:rowOff>
    </xdr:from>
    <xdr:to>
      <xdr:col>3</xdr:col>
      <xdr:colOff>529997</xdr:colOff>
      <xdr:row>47</xdr:row>
      <xdr:rowOff>31214</xdr:rowOff>
    </xdr:to>
    <xdr:pic>
      <xdr:nvPicPr>
        <xdr:cNvPr id="18439" name="図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648" r="32536"/>
        <a:stretch>
          <a:fillRect/>
        </a:stretch>
      </xdr:blipFill>
      <xdr:spPr bwMode="auto">
        <a:xfrm>
          <a:off x="613117" y="8692516"/>
          <a:ext cx="2288605" cy="511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63</xdr:row>
      <xdr:rowOff>76200</xdr:rowOff>
    </xdr:from>
    <xdr:to>
      <xdr:col>2</xdr:col>
      <xdr:colOff>729054</xdr:colOff>
      <xdr:row>64</xdr:row>
      <xdr:rowOff>95564</xdr:rowOff>
    </xdr:to>
    <xdr:pic>
      <xdr:nvPicPr>
        <xdr:cNvPr id="10" name="図 9"/>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1390650" y="12963525"/>
          <a:ext cx="633804"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533400</xdr:colOff>
      <xdr:row>33</xdr:row>
      <xdr:rowOff>38100</xdr:rowOff>
    </xdr:from>
    <xdr:to>
      <xdr:col>3</xdr:col>
      <xdr:colOff>70485</xdr:colOff>
      <xdr:row>35</xdr:row>
      <xdr:rowOff>164465</xdr:rowOff>
    </xdr:to>
    <xdr:pic>
      <xdr:nvPicPr>
        <xdr:cNvPr id="8" name="図 7"/>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5781" r="35630"/>
        <a:stretch/>
      </xdr:blipFill>
      <xdr:spPr bwMode="auto">
        <a:xfrm>
          <a:off x="533400" y="6562725"/>
          <a:ext cx="1851660" cy="4597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114</xdr:row>
      <xdr:rowOff>22859</xdr:rowOff>
    </xdr:from>
    <xdr:to>
      <xdr:col>5</xdr:col>
      <xdr:colOff>598395</xdr:colOff>
      <xdr:row>126</xdr:row>
      <xdr:rowOff>40859</xdr:rowOff>
    </xdr:to>
    <xdr:pic>
      <xdr:nvPicPr>
        <xdr:cNvPr id="19457" name="図 13" descr="白紙.JPG"/>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 y="22930484"/>
          <a:ext cx="2772000" cy="2304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6</xdr:col>
      <xdr:colOff>30480</xdr:colOff>
      <xdr:row>114</xdr:row>
      <xdr:rowOff>26670</xdr:rowOff>
    </xdr:from>
    <xdr:to>
      <xdr:col>9</xdr:col>
      <xdr:colOff>421230</xdr:colOff>
      <xdr:row>126</xdr:row>
      <xdr:rowOff>44670</xdr:rowOff>
    </xdr:to>
    <xdr:pic>
      <xdr:nvPicPr>
        <xdr:cNvPr id="19458" name="図 13" descr="白紙.JPG"/>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5705" y="22934295"/>
          <a:ext cx="2772000" cy="2304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30480</xdr:colOff>
      <xdr:row>128</xdr:row>
      <xdr:rowOff>38100</xdr:rowOff>
    </xdr:from>
    <xdr:to>
      <xdr:col>9</xdr:col>
      <xdr:colOff>219075</xdr:colOff>
      <xdr:row>141</xdr:row>
      <xdr:rowOff>121920</xdr:rowOff>
    </xdr:to>
    <xdr:pic>
      <xdr:nvPicPr>
        <xdr:cNvPr id="1945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 y="25252680"/>
          <a:ext cx="5013960" cy="272796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171450</xdr:colOff>
      <xdr:row>93</xdr:row>
      <xdr:rowOff>17145</xdr:rowOff>
    </xdr:from>
    <xdr:to>
      <xdr:col>8</xdr:col>
      <xdr:colOff>317411</xdr:colOff>
      <xdr:row>104</xdr:row>
      <xdr:rowOff>161925</xdr:rowOff>
    </xdr:to>
    <xdr:pic>
      <xdr:nvPicPr>
        <xdr:cNvPr id="19460" name="Picture 1110"/>
        <xdr:cNvPicPr>
          <a:picLocks noChangeAspect="1" noChangeArrowheads="1"/>
        </xdr:cNvPicPr>
      </xdr:nvPicPr>
      <xdr:blipFill>
        <a:blip xmlns:r="http://schemas.openxmlformats.org/officeDocument/2006/relationships" r:embed="rId2" cstate="print">
          <a:lum bright="-32000" contrast="52000"/>
          <a:extLst>
            <a:ext uri="{28A0092B-C50C-407E-A947-70E740481C1C}">
              <a14:useLocalDpi xmlns:a14="http://schemas.microsoft.com/office/drawing/2010/main" val="0"/>
            </a:ext>
          </a:extLst>
        </a:blip>
        <a:srcRect/>
        <a:stretch>
          <a:fillRect/>
        </a:stretch>
      </xdr:blipFill>
      <xdr:spPr bwMode="auto">
        <a:xfrm>
          <a:off x="1533525" y="18400395"/>
          <a:ext cx="4051211" cy="23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114299</xdr:colOff>
      <xdr:row>67</xdr:row>
      <xdr:rowOff>15240</xdr:rowOff>
    </xdr:from>
    <xdr:to>
      <xdr:col>5</xdr:col>
      <xdr:colOff>149677</xdr:colOff>
      <xdr:row>69</xdr:row>
      <xdr:rowOff>144780</xdr:rowOff>
    </xdr:to>
    <xdr:pic>
      <xdr:nvPicPr>
        <xdr:cNvPr id="19471" name="図 1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648" r="32536"/>
        <a:stretch>
          <a:fillRect/>
        </a:stretch>
      </xdr:blipFill>
      <xdr:spPr bwMode="auto">
        <a:xfrm>
          <a:off x="665388" y="13574758"/>
          <a:ext cx="2409825"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708660</xdr:colOff>
      <xdr:row>79</xdr:row>
      <xdr:rowOff>169545</xdr:rowOff>
    </xdr:from>
    <xdr:to>
      <xdr:col>5</xdr:col>
      <xdr:colOff>662940</xdr:colOff>
      <xdr:row>82</xdr:row>
      <xdr:rowOff>51435</xdr:rowOff>
    </xdr:to>
    <xdr:pic>
      <xdr:nvPicPr>
        <xdr:cNvPr id="19473" name="図 2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76640"/>
        <a:stretch>
          <a:fillRect/>
        </a:stretch>
      </xdr:blipFill>
      <xdr:spPr bwMode="auto">
        <a:xfrm>
          <a:off x="2070735" y="16142970"/>
          <a:ext cx="15163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333375</xdr:colOff>
      <xdr:row>80</xdr:row>
      <xdr:rowOff>104775</xdr:rowOff>
    </xdr:from>
    <xdr:to>
      <xdr:col>3</xdr:col>
      <xdr:colOff>348054</xdr:colOff>
      <xdr:row>81</xdr:row>
      <xdr:rowOff>124139</xdr:rowOff>
    </xdr:to>
    <xdr:pic>
      <xdr:nvPicPr>
        <xdr:cNvPr id="19" name="図 18"/>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1076325" y="16287750"/>
          <a:ext cx="633804" cy="209864"/>
        </a:xfrm>
        <a:prstGeom prst="rect">
          <a:avLst/>
        </a:prstGeom>
        <a:noFill/>
        <a:ln>
          <a:noFill/>
        </a:ln>
        <a:extLst>
          <a:ext uri="{53640926-AAD7-44D8-BBD7-CCE9431645EC}">
            <a14:shadowObscured xmlns:a14="http://schemas.microsoft.com/office/drawing/2010/main"/>
          </a:ext>
        </a:extLst>
      </xdr:spPr>
    </xdr:pic>
    <xdr:clientData/>
  </xdr:twoCellAnchor>
  <xdr:oneCellAnchor>
    <xdr:from>
      <xdr:col>14</xdr:col>
      <xdr:colOff>155543</xdr:colOff>
      <xdr:row>30</xdr:row>
      <xdr:rowOff>170338</xdr:rowOff>
    </xdr:from>
    <xdr:ext cx="463582" cy="270202"/>
    <xdr:sp macro="" textlink="">
      <xdr:nvSpPr>
        <xdr:cNvPr id="2" name="テキスト ボックス 1"/>
        <xdr:cNvSpPr txBox="1"/>
      </xdr:nvSpPr>
      <xdr:spPr>
        <a:xfrm>
          <a:off x="9994868" y="6113938"/>
          <a:ext cx="46358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14</xdr:col>
      <xdr:colOff>85726</xdr:colOff>
      <xdr:row>30</xdr:row>
      <xdr:rowOff>179863</xdr:rowOff>
    </xdr:from>
    <xdr:ext cx="619124" cy="264560"/>
    <mc:AlternateContent xmlns:mc="http://schemas.openxmlformats.org/markup-compatibility/2006" xmlns:a14="http://schemas.microsoft.com/office/drawing/2010/main">
      <mc:Choice Requires="a14">
        <xdr:sp macro="" textlink="">
          <xdr:nvSpPr>
            <xdr:cNvPr id="33" name="テキスト ボックス 32"/>
            <xdr:cNvSpPr txBox="1"/>
          </xdr:nvSpPr>
          <xdr:spPr>
            <a:xfrm>
              <a:off x="9925051"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hH</m:t>
                        </m:r>
                      </m:sub>
                    </m:sSub>
                  </m:oMath>
                </m:oMathPara>
              </a14:m>
              <a:endParaRPr kumimoji="1" lang="ja-JP" altLang="en-US" sz="1100"/>
            </a:p>
          </xdr:txBody>
        </xdr:sp>
      </mc:Choice>
      <mc:Fallback xmlns="">
        <xdr:sp macro="" textlink="">
          <xdr:nvSpPr>
            <xdr:cNvPr id="33" name="テキスト ボックス 32"/>
            <xdr:cNvSpPr txBox="1"/>
          </xdr:nvSpPr>
          <xdr:spPr>
            <a:xfrm>
              <a:off x="9925051"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_hH</a:t>
              </a:r>
              <a:endParaRPr kumimoji="1" lang="ja-JP" altLang="en-US" sz="1100"/>
            </a:p>
          </xdr:txBody>
        </xdr:sp>
      </mc:Fallback>
    </mc:AlternateContent>
    <xdr:clientData/>
  </xdr:oneCellAnchor>
  <xdr:oneCellAnchor>
    <xdr:from>
      <xdr:col>15</xdr:col>
      <xdr:colOff>19051</xdr:colOff>
      <xdr:row>30</xdr:row>
      <xdr:rowOff>179863</xdr:rowOff>
    </xdr:from>
    <xdr:ext cx="619124" cy="264560"/>
    <mc:AlternateContent xmlns:mc="http://schemas.openxmlformats.org/markup-compatibility/2006" xmlns:a14="http://schemas.microsoft.com/office/drawing/2010/main">
      <mc:Choice Requires="a14">
        <xdr:sp macro="" textlink="">
          <xdr:nvSpPr>
            <xdr:cNvPr id="34" name="テキスト ボックス 33"/>
            <xdr:cNvSpPr txBox="1"/>
          </xdr:nvSpPr>
          <xdr:spPr>
            <a:xfrm>
              <a:off x="10544176"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m:t>
                        </m:r>
                        <m:r>
                          <a:rPr kumimoji="1" lang="en-US" altLang="ja-JP" sz="1100" b="0" i="1">
                            <a:latin typeface="Cambria Math"/>
                          </a:rPr>
                          <m:t>𝐶</m:t>
                        </m:r>
                      </m:sub>
                    </m:sSub>
                  </m:oMath>
                </m:oMathPara>
              </a14:m>
              <a:endParaRPr kumimoji="1" lang="ja-JP" altLang="en-US" sz="1100"/>
            </a:p>
          </xdr:txBody>
        </xdr:sp>
      </mc:Choice>
      <mc:Fallback xmlns="">
        <xdr:sp macro="" textlink="">
          <xdr:nvSpPr>
            <xdr:cNvPr id="34" name="テキスト ボックス 33"/>
            <xdr:cNvSpPr txBox="1"/>
          </xdr:nvSpPr>
          <xdr:spPr>
            <a:xfrm>
              <a:off x="10544176"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a:t>
              </a:r>
              <a:r>
                <a:rPr kumimoji="1" lang="en-US" altLang="ja-JP" sz="1100" b="0" i="0">
                  <a:latin typeface="Cambria Math"/>
                </a:rPr>
                <a:t>𝐶</a:t>
              </a:r>
              <a:endParaRPr kumimoji="1" lang="ja-JP" altLang="en-US" sz="1100"/>
            </a:p>
          </xdr:txBody>
        </xdr:sp>
      </mc:Fallback>
    </mc:AlternateContent>
    <xdr:clientData/>
  </xdr:oneCellAnchor>
  <xdr:oneCellAnchor>
    <xdr:from>
      <xdr:col>16</xdr:col>
      <xdr:colOff>19051</xdr:colOff>
      <xdr:row>30</xdr:row>
      <xdr:rowOff>179863</xdr:rowOff>
    </xdr:from>
    <xdr:ext cx="619124" cy="264560"/>
    <mc:AlternateContent xmlns:mc="http://schemas.openxmlformats.org/markup-compatibility/2006" xmlns:a14="http://schemas.microsoft.com/office/drawing/2010/main">
      <mc:Choice Requires="a14">
        <xdr:sp macro="" textlink="">
          <xdr:nvSpPr>
            <xdr:cNvPr id="35" name="テキスト ボックス 34"/>
            <xdr:cNvSpPr txBox="1"/>
          </xdr:nvSpPr>
          <xdr:spPr>
            <a:xfrm>
              <a:off x="11229976"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m:t>
                        </m:r>
                      </m:sub>
                    </m:sSub>
                  </m:oMath>
                </m:oMathPara>
              </a14:m>
              <a:endParaRPr kumimoji="1" lang="ja-JP" altLang="en-US" sz="1100"/>
            </a:p>
          </xdr:txBody>
        </xdr:sp>
      </mc:Choice>
      <mc:Fallback xmlns="">
        <xdr:sp macro="" textlink="">
          <xdr:nvSpPr>
            <xdr:cNvPr id="35" name="テキスト ボックス 34"/>
            <xdr:cNvSpPr txBox="1"/>
          </xdr:nvSpPr>
          <xdr:spPr>
            <a:xfrm>
              <a:off x="11229976" y="6123463"/>
              <a:ext cx="6191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a:t>
              </a:r>
              <a:endParaRPr kumimoji="1" lang="ja-JP" altLang="en-US" sz="1100"/>
            </a:p>
          </xdr:txBody>
        </xdr:sp>
      </mc:Fallback>
    </mc:AlternateContent>
    <xdr:clientData/>
  </xdr:oneCellAnchor>
  <xdr:twoCellAnchor editAs="oneCell">
    <xdr:from>
      <xdr:col>1</xdr:col>
      <xdr:colOff>167472</xdr:colOff>
      <xdr:row>41</xdr:row>
      <xdr:rowOff>125604</xdr:rowOff>
    </xdr:from>
    <xdr:to>
      <xdr:col>4</xdr:col>
      <xdr:colOff>55398</xdr:colOff>
      <xdr:row>43</xdr:row>
      <xdr:rowOff>209493</xdr:rowOff>
    </xdr:to>
    <xdr:pic>
      <xdr:nvPicPr>
        <xdr:cNvPr id="30" name="図 29"/>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8905" r="38273" b="48407"/>
        <a:stretch/>
      </xdr:blipFill>
      <xdr:spPr bwMode="auto">
        <a:xfrm>
          <a:off x="722225" y="7881675"/>
          <a:ext cx="1478915" cy="4711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22713</xdr:colOff>
      <xdr:row>44</xdr:row>
      <xdr:rowOff>15177</xdr:rowOff>
    </xdr:from>
    <xdr:to>
      <xdr:col>3</xdr:col>
      <xdr:colOff>292442</xdr:colOff>
      <xdr:row>46</xdr:row>
      <xdr:rowOff>78132</xdr:rowOff>
    </xdr:to>
    <xdr:pic>
      <xdr:nvPicPr>
        <xdr:cNvPr id="38" name="図 37"/>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308" t="48408" r="43035"/>
        <a:stretch/>
      </xdr:blipFill>
      <xdr:spPr bwMode="auto">
        <a:xfrm>
          <a:off x="765663" y="8492427"/>
          <a:ext cx="888854" cy="4725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756047</xdr:colOff>
      <xdr:row>44</xdr:row>
      <xdr:rowOff>0</xdr:rowOff>
    </xdr:from>
    <xdr:to>
      <xdr:col>6</xdr:col>
      <xdr:colOff>76350</xdr:colOff>
      <xdr:row>46</xdr:row>
      <xdr:rowOff>62955</xdr:rowOff>
    </xdr:to>
    <xdr:pic>
      <xdr:nvPicPr>
        <xdr:cNvPr id="39" name="図 38"/>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308" t="48408" r="43035"/>
        <a:stretch/>
      </xdr:blipFill>
      <xdr:spPr bwMode="auto">
        <a:xfrm>
          <a:off x="2899172" y="8429625"/>
          <a:ext cx="880022" cy="47372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0</xdr:colOff>
      <xdr:row>42</xdr:row>
      <xdr:rowOff>0</xdr:rowOff>
    </xdr:from>
    <xdr:to>
      <xdr:col>6</xdr:col>
      <xdr:colOff>693887</xdr:colOff>
      <xdr:row>44</xdr:row>
      <xdr:rowOff>20125</xdr:rowOff>
    </xdr:to>
    <xdr:pic>
      <xdr:nvPicPr>
        <xdr:cNvPr id="40" name="図 39"/>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8928" r="38226"/>
        <a:stretch/>
      </xdr:blipFill>
      <xdr:spPr bwMode="auto">
        <a:xfrm>
          <a:off x="2930769" y="7923544"/>
          <a:ext cx="1478915"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613172</xdr:colOff>
      <xdr:row>48</xdr:row>
      <xdr:rowOff>35719</xdr:rowOff>
    </xdr:from>
    <xdr:to>
      <xdr:col>6</xdr:col>
      <xdr:colOff>718502</xdr:colOff>
      <xdr:row>49</xdr:row>
      <xdr:rowOff>12859</xdr:rowOff>
    </xdr:to>
    <xdr:pic>
      <xdr:nvPicPr>
        <xdr:cNvPr id="41" name="図 40"/>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308" t="48408" r="43035" b="28025"/>
        <a:stretch/>
      </xdr:blipFill>
      <xdr:spPr bwMode="auto">
        <a:xfrm>
          <a:off x="3536156" y="9292828"/>
          <a:ext cx="885190" cy="21526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613172</xdr:colOff>
      <xdr:row>49</xdr:row>
      <xdr:rowOff>23813</xdr:rowOff>
    </xdr:from>
    <xdr:to>
      <xdr:col>6</xdr:col>
      <xdr:colOff>718502</xdr:colOff>
      <xdr:row>50</xdr:row>
      <xdr:rowOff>953</xdr:rowOff>
    </xdr:to>
    <xdr:pic>
      <xdr:nvPicPr>
        <xdr:cNvPr id="42" name="図 4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308" t="69427" r="43035" b="7006"/>
        <a:stretch/>
      </xdr:blipFill>
      <xdr:spPr bwMode="auto">
        <a:xfrm>
          <a:off x="3536156" y="9519047"/>
          <a:ext cx="885190" cy="21526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229734</xdr:colOff>
      <xdr:row>46</xdr:row>
      <xdr:rowOff>89298</xdr:rowOff>
    </xdr:from>
    <xdr:to>
      <xdr:col>6</xdr:col>
      <xdr:colOff>676028</xdr:colOff>
      <xdr:row>48</xdr:row>
      <xdr:rowOff>55844</xdr:rowOff>
    </xdr:to>
    <xdr:pic>
      <xdr:nvPicPr>
        <xdr:cNvPr id="43" name="図 42"/>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8928" r="38226"/>
        <a:stretch/>
      </xdr:blipFill>
      <xdr:spPr bwMode="auto">
        <a:xfrm>
          <a:off x="3152718" y="8929689"/>
          <a:ext cx="1226154" cy="383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559592</xdr:colOff>
      <xdr:row>46</xdr:row>
      <xdr:rowOff>80268</xdr:rowOff>
    </xdr:from>
    <xdr:to>
      <xdr:col>5</xdr:col>
      <xdr:colOff>156601</xdr:colOff>
      <xdr:row>48</xdr:row>
      <xdr:rowOff>36853</xdr:rowOff>
    </xdr:to>
    <xdr:pic>
      <xdr:nvPicPr>
        <xdr:cNvPr id="44" name="図 43"/>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8905" r="38273" b="48407"/>
        <a:stretch/>
      </xdr:blipFill>
      <xdr:spPr bwMode="auto">
        <a:xfrm>
          <a:off x="1922858" y="8920659"/>
          <a:ext cx="1156727" cy="37330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107157</xdr:colOff>
      <xdr:row>59</xdr:row>
      <xdr:rowOff>0</xdr:rowOff>
    </xdr:from>
    <xdr:to>
      <xdr:col>3</xdr:col>
      <xdr:colOff>196454</xdr:colOff>
      <xdr:row>60</xdr:row>
      <xdr:rowOff>27037</xdr:rowOff>
    </xdr:to>
    <xdr:pic>
      <xdr:nvPicPr>
        <xdr:cNvPr id="45" name="図 44"/>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2164" r="42193"/>
        <a:stretch/>
      </xdr:blipFill>
      <xdr:spPr bwMode="auto">
        <a:xfrm>
          <a:off x="660798" y="11822906"/>
          <a:ext cx="898922" cy="40803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251460</xdr:colOff>
      <xdr:row>61</xdr:row>
      <xdr:rowOff>167640</xdr:rowOff>
    </xdr:from>
    <xdr:to>
      <xdr:col>4</xdr:col>
      <xdr:colOff>182881</xdr:colOff>
      <xdr:row>64</xdr:row>
      <xdr:rowOff>38100</xdr:rowOff>
    </xdr:to>
    <xdr:pic>
      <xdr:nvPicPr>
        <xdr:cNvPr id="20504" name="図 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648" r="32536"/>
        <a:stretch>
          <a:fillRect/>
        </a:stretch>
      </xdr:blipFill>
      <xdr:spPr bwMode="auto">
        <a:xfrm>
          <a:off x="784860" y="14676120"/>
          <a:ext cx="211836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73</xdr:row>
      <xdr:rowOff>182880</xdr:rowOff>
    </xdr:from>
    <xdr:to>
      <xdr:col>6</xdr:col>
      <xdr:colOff>312419</xdr:colOff>
      <xdr:row>76</xdr:row>
      <xdr:rowOff>45720</xdr:rowOff>
    </xdr:to>
    <xdr:pic>
      <xdr:nvPicPr>
        <xdr:cNvPr id="20506" name="図 5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6640"/>
        <a:stretch>
          <a:fillRect/>
        </a:stretch>
      </xdr:blipFill>
      <xdr:spPr bwMode="auto">
        <a:xfrm>
          <a:off x="2644140" y="17327880"/>
          <a:ext cx="135636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xdr:colOff>
      <xdr:row>156</xdr:row>
      <xdr:rowOff>175260</xdr:rowOff>
    </xdr:from>
    <xdr:to>
      <xdr:col>4</xdr:col>
      <xdr:colOff>60961</xdr:colOff>
      <xdr:row>159</xdr:row>
      <xdr:rowOff>45721</xdr:rowOff>
    </xdr:to>
    <xdr:pic>
      <xdr:nvPicPr>
        <xdr:cNvPr id="20507" name="図 5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648" r="32536"/>
        <a:stretch>
          <a:fillRect/>
        </a:stretch>
      </xdr:blipFill>
      <xdr:spPr bwMode="auto">
        <a:xfrm>
          <a:off x="624345" y="35980601"/>
          <a:ext cx="2349781" cy="51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651510</xdr:colOff>
      <xdr:row>170</xdr:row>
      <xdr:rowOff>198120</xdr:rowOff>
    </xdr:from>
    <xdr:to>
      <xdr:col>5</xdr:col>
      <xdr:colOff>114299</xdr:colOff>
      <xdr:row>172</xdr:row>
      <xdr:rowOff>243842</xdr:rowOff>
    </xdr:to>
    <xdr:pic>
      <xdr:nvPicPr>
        <xdr:cNvPr id="20509" name="図 5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76640"/>
        <a:stretch>
          <a:fillRect/>
        </a:stretch>
      </xdr:blipFill>
      <xdr:spPr bwMode="auto">
        <a:xfrm>
          <a:off x="2099310" y="36574095"/>
          <a:ext cx="1615439" cy="483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8808</xdr:colOff>
      <xdr:row>153</xdr:row>
      <xdr:rowOff>10026</xdr:rowOff>
    </xdr:from>
    <xdr:to>
      <xdr:col>2</xdr:col>
      <xdr:colOff>529962</xdr:colOff>
      <xdr:row>155</xdr:row>
      <xdr:rowOff>78062</xdr:rowOff>
    </xdr:to>
    <xdr:pic>
      <xdr:nvPicPr>
        <xdr:cNvPr id="54" name="図 5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3166" r="42986" b="-644"/>
        <a:stretch>
          <a:fillRect/>
        </a:stretch>
      </xdr:blipFill>
      <xdr:spPr bwMode="auto">
        <a:xfrm>
          <a:off x="505469" y="32973330"/>
          <a:ext cx="895350" cy="462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19337</xdr:colOff>
      <xdr:row>181</xdr:row>
      <xdr:rowOff>255456</xdr:rowOff>
    </xdr:from>
    <xdr:to>
      <xdr:col>2</xdr:col>
      <xdr:colOff>542998</xdr:colOff>
      <xdr:row>183</xdr:row>
      <xdr:rowOff>140798</xdr:rowOff>
    </xdr:to>
    <xdr:pic>
      <xdr:nvPicPr>
        <xdr:cNvPr id="55" name="図 5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3166" r="42986" b="-644"/>
        <a:stretch>
          <a:fillRect/>
        </a:stretch>
      </xdr:blipFill>
      <xdr:spPr bwMode="auto">
        <a:xfrm>
          <a:off x="515998" y="38593581"/>
          <a:ext cx="897857" cy="456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266700</xdr:colOff>
      <xdr:row>74</xdr:row>
      <xdr:rowOff>123825</xdr:rowOff>
    </xdr:from>
    <xdr:to>
      <xdr:col>3</xdr:col>
      <xdr:colOff>900504</xdr:colOff>
      <xdr:row>75</xdr:row>
      <xdr:rowOff>47939</xdr:rowOff>
    </xdr:to>
    <xdr:pic>
      <xdr:nvPicPr>
        <xdr:cNvPr id="56" name="図 5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1771650" y="17716500"/>
          <a:ext cx="633804" cy="2098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114300</xdr:colOff>
      <xdr:row>171</xdr:row>
      <xdr:rowOff>152400</xdr:rowOff>
    </xdr:from>
    <xdr:to>
      <xdr:col>3</xdr:col>
      <xdr:colOff>128979</xdr:colOff>
      <xdr:row>172</xdr:row>
      <xdr:rowOff>143190</xdr:rowOff>
    </xdr:to>
    <xdr:pic>
      <xdr:nvPicPr>
        <xdr:cNvPr id="57" name="図 56"/>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943" r="44284" b="-38"/>
        <a:stretch/>
      </xdr:blipFill>
      <xdr:spPr bwMode="auto">
        <a:xfrm>
          <a:off x="942975" y="36747450"/>
          <a:ext cx="633804" cy="209865"/>
        </a:xfrm>
        <a:prstGeom prst="rect">
          <a:avLst/>
        </a:prstGeom>
        <a:noFill/>
        <a:ln>
          <a:noFill/>
        </a:ln>
        <a:extLst>
          <a:ext uri="{53640926-AAD7-44D8-BBD7-CCE9431645EC}">
            <a14:shadowObscured xmlns:a14="http://schemas.microsoft.com/office/drawing/2010/main"/>
          </a:ext>
        </a:extLst>
      </xdr:spPr>
    </xdr:pic>
    <xdr:clientData/>
  </xdr:twoCellAnchor>
  <xdr:oneCellAnchor>
    <xdr:from>
      <xdr:col>15</xdr:col>
      <xdr:colOff>29518</xdr:colOff>
      <xdr:row>11</xdr:row>
      <xdr:rowOff>279974</xdr:rowOff>
    </xdr:from>
    <xdr:ext cx="640372" cy="270202"/>
    <mc:AlternateContent xmlns:mc="http://schemas.openxmlformats.org/markup-compatibility/2006" xmlns:a14="http://schemas.microsoft.com/office/drawing/2010/main">
      <mc:Choice Requires="a14">
        <xdr:sp macro="" textlink="">
          <xdr:nvSpPr>
            <xdr:cNvPr id="2" name="テキスト ボックス 1"/>
            <xdr:cNvSpPr txBox="1"/>
          </xdr:nvSpPr>
          <xdr:spPr>
            <a:xfrm>
              <a:off x="1043293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hH</m:t>
                        </m:r>
                      </m:sub>
                    </m:sSub>
                  </m:oMath>
                </m:oMathPara>
              </a14:m>
              <a:endParaRPr kumimoji="1" lang="ja-JP" altLang="en-US" sz="1100"/>
            </a:p>
          </xdr:txBody>
        </xdr:sp>
      </mc:Choice>
      <mc:Fallback xmlns="">
        <xdr:sp macro="" textlink="">
          <xdr:nvSpPr>
            <xdr:cNvPr id="2" name="テキスト ボックス 1"/>
            <xdr:cNvSpPr txBox="1"/>
          </xdr:nvSpPr>
          <xdr:spPr>
            <a:xfrm>
              <a:off x="1043293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_hH</a:t>
              </a:r>
              <a:endParaRPr kumimoji="1" lang="ja-JP" altLang="en-US" sz="1100"/>
            </a:p>
          </xdr:txBody>
        </xdr:sp>
      </mc:Fallback>
    </mc:AlternateContent>
    <xdr:clientData/>
  </xdr:oneCellAnchor>
  <xdr:oneCellAnchor>
    <xdr:from>
      <xdr:col>16</xdr:col>
      <xdr:colOff>8352</xdr:colOff>
      <xdr:row>11</xdr:row>
      <xdr:rowOff>279974</xdr:rowOff>
    </xdr:from>
    <xdr:ext cx="640372" cy="270202"/>
    <mc:AlternateContent xmlns:mc="http://schemas.openxmlformats.org/markup-compatibility/2006" xmlns:a14="http://schemas.microsoft.com/office/drawing/2010/main">
      <mc:Choice Requires="a14">
        <xdr:sp macro="" textlink="">
          <xdr:nvSpPr>
            <xdr:cNvPr id="28" name="テキスト ボックス 27"/>
            <xdr:cNvSpPr txBox="1"/>
          </xdr:nvSpPr>
          <xdr:spPr>
            <a:xfrm>
              <a:off x="1109968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m:t>
                        </m:r>
                        <m:r>
                          <a:rPr kumimoji="1" lang="en-US" altLang="ja-JP" sz="1100" b="0" i="1">
                            <a:latin typeface="Cambria Math"/>
                          </a:rPr>
                          <m:t>𝐶</m:t>
                        </m:r>
                      </m:sub>
                    </m:sSub>
                  </m:oMath>
                </m:oMathPara>
              </a14:m>
              <a:endParaRPr kumimoji="1" lang="ja-JP" altLang="en-US" sz="1100"/>
            </a:p>
          </xdr:txBody>
        </xdr:sp>
      </mc:Choice>
      <mc:Fallback xmlns="">
        <xdr:sp macro="" textlink="">
          <xdr:nvSpPr>
            <xdr:cNvPr id="28" name="テキスト ボックス 27"/>
            <xdr:cNvSpPr txBox="1"/>
          </xdr:nvSpPr>
          <xdr:spPr>
            <a:xfrm>
              <a:off x="1109968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a:t>
              </a:r>
              <a:r>
                <a:rPr kumimoji="1" lang="en-US" altLang="ja-JP" sz="1100" b="0" i="0">
                  <a:latin typeface="Cambria Math"/>
                </a:rPr>
                <a:t>𝐶</a:t>
              </a:r>
              <a:endParaRPr kumimoji="1" lang="ja-JP" altLang="en-US" sz="1100"/>
            </a:p>
          </xdr:txBody>
        </xdr:sp>
      </mc:Fallback>
    </mc:AlternateContent>
    <xdr:clientData/>
  </xdr:oneCellAnchor>
  <xdr:oneCellAnchor>
    <xdr:from>
      <xdr:col>17</xdr:col>
      <xdr:colOff>18935</xdr:colOff>
      <xdr:row>11</xdr:row>
      <xdr:rowOff>279974</xdr:rowOff>
    </xdr:from>
    <xdr:ext cx="640372" cy="270202"/>
    <mc:AlternateContent xmlns:mc="http://schemas.openxmlformats.org/markup-compatibility/2006" xmlns:a14="http://schemas.microsoft.com/office/drawing/2010/main">
      <mc:Choice Requires="a14">
        <xdr:sp macro="" textlink="">
          <xdr:nvSpPr>
            <xdr:cNvPr id="29" name="テキスト ボックス 28"/>
            <xdr:cNvSpPr txBox="1"/>
          </xdr:nvSpPr>
          <xdr:spPr>
            <a:xfrm>
              <a:off x="1179818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right"/>
                  </m:oMathParaPr>
                  <m:oMath xmlns:m="http://schemas.openxmlformats.org/officeDocument/2006/math">
                    <m:sSub>
                      <m:sSubPr>
                        <m:ctrlPr>
                          <a:rPr kumimoji="1" lang="en-US" altLang="ja-JP" sz="1100" i="1">
                            <a:latin typeface="Cambria Math"/>
                          </a:rPr>
                        </m:ctrlPr>
                      </m:sSubPr>
                      <m:e>
                        <m:r>
                          <a:rPr kumimoji="1" lang="ja-JP" altLang="en-US" sz="1100" i="1">
                            <a:latin typeface="Cambria Math"/>
                          </a:rPr>
                          <m:t>𝜃</m:t>
                        </m:r>
                      </m:e>
                      <m:sub>
                        <m:r>
                          <m:rPr>
                            <m:sty m:val="p"/>
                          </m:rPr>
                          <a:rPr kumimoji="1" lang="en-US" altLang="ja-JP" sz="1100" i="1">
                            <a:latin typeface="Cambria Math"/>
                          </a:rPr>
                          <m:t>h</m:t>
                        </m:r>
                      </m:sub>
                    </m:sSub>
                  </m:oMath>
                </m:oMathPara>
              </a14:m>
              <a:endParaRPr kumimoji="1" lang="ja-JP" altLang="en-US" sz="1100"/>
            </a:p>
          </xdr:txBody>
        </xdr:sp>
      </mc:Choice>
      <mc:Fallback xmlns="">
        <xdr:sp macro="" textlink="">
          <xdr:nvSpPr>
            <xdr:cNvPr id="29" name="テキスト ボックス 28"/>
            <xdr:cNvSpPr txBox="1"/>
          </xdr:nvSpPr>
          <xdr:spPr>
            <a:xfrm>
              <a:off x="11798185" y="3169224"/>
              <a:ext cx="640372" cy="27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ja-JP" altLang="en-US" sz="1100" i="0">
                  <a:latin typeface="Cambria Math"/>
                </a:rPr>
                <a:t>𝜃</a:t>
              </a:r>
              <a:r>
                <a:rPr kumimoji="1" lang="en-US" altLang="ja-JP" sz="1100" i="0">
                  <a:latin typeface="Cambria Math"/>
                </a:rPr>
                <a:t>_h</a:t>
              </a:r>
              <a:endParaRPr kumimoji="1" lang="ja-JP" altLang="en-US" sz="1100"/>
            </a:p>
          </xdr:txBody>
        </xdr:sp>
      </mc:Fallback>
    </mc:AlternateContent>
    <xdr:clientData/>
  </xdr:oneCellAnchor>
  <xdr:twoCellAnchor editAs="oneCell">
    <xdr:from>
      <xdr:col>3</xdr:col>
      <xdr:colOff>273575</xdr:colOff>
      <xdr:row>8</xdr:row>
      <xdr:rowOff>142712</xdr:rowOff>
    </xdr:from>
    <xdr:to>
      <xdr:col>6</xdr:col>
      <xdr:colOff>418882</xdr:colOff>
      <xdr:row>9</xdr:row>
      <xdr:rowOff>417395</xdr:rowOff>
    </xdr:to>
    <xdr:pic>
      <xdr:nvPicPr>
        <xdr:cNvPr id="63" name="図 62"/>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9128" r="28600"/>
        <a:stretch/>
      </xdr:blipFill>
      <xdr:spPr bwMode="auto">
        <a:xfrm>
          <a:off x="1757470" y="1837159"/>
          <a:ext cx="2742124" cy="45515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289786</xdr:colOff>
      <xdr:row>9</xdr:row>
      <xdr:rowOff>397212</xdr:rowOff>
    </xdr:from>
    <xdr:to>
      <xdr:col>6</xdr:col>
      <xdr:colOff>377308</xdr:colOff>
      <xdr:row>11</xdr:row>
      <xdr:rowOff>28359</xdr:rowOff>
    </xdr:to>
    <xdr:pic>
      <xdr:nvPicPr>
        <xdr:cNvPr id="64" name="図 63"/>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9308" r="29318"/>
        <a:stretch/>
      </xdr:blipFill>
      <xdr:spPr bwMode="auto">
        <a:xfrm>
          <a:off x="1773681" y="2272133"/>
          <a:ext cx="2684339" cy="46333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326941</xdr:colOff>
      <xdr:row>26</xdr:row>
      <xdr:rowOff>111075</xdr:rowOff>
    </xdr:from>
    <xdr:to>
      <xdr:col>6</xdr:col>
      <xdr:colOff>677320</xdr:colOff>
      <xdr:row>28</xdr:row>
      <xdr:rowOff>12042</xdr:rowOff>
    </xdr:to>
    <xdr:pic>
      <xdr:nvPicPr>
        <xdr:cNvPr id="65" name="図 64"/>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7240" r="27341"/>
        <a:stretch/>
      </xdr:blipFill>
      <xdr:spPr bwMode="auto">
        <a:xfrm>
          <a:off x="1810836" y="6457733"/>
          <a:ext cx="2947196" cy="4624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347766</xdr:colOff>
      <xdr:row>27</xdr:row>
      <xdr:rowOff>369045</xdr:rowOff>
    </xdr:from>
    <xdr:to>
      <xdr:col>6</xdr:col>
      <xdr:colOff>698145</xdr:colOff>
      <xdr:row>29</xdr:row>
      <xdr:rowOff>52131</xdr:rowOff>
    </xdr:to>
    <xdr:pic>
      <xdr:nvPicPr>
        <xdr:cNvPr id="66" name="図 65"/>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7420" r="27162"/>
        <a:stretch/>
      </xdr:blipFill>
      <xdr:spPr bwMode="auto">
        <a:xfrm>
          <a:off x="1831661" y="6886150"/>
          <a:ext cx="2947196" cy="46513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425989</xdr:colOff>
      <xdr:row>30</xdr:row>
      <xdr:rowOff>24740</xdr:rowOff>
    </xdr:from>
    <xdr:to>
      <xdr:col>6</xdr:col>
      <xdr:colOff>538664</xdr:colOff>
      <xdr:row>30</xdr:row>
      <xdr:rowOff>221590</xdr:rowOff>
    </xdr:to>
    <xdr:pic>
      <xdr:nvPicPr>
        <xdr:cNvPr id="68" name="図 67"/>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9287" t="32456" r="52178" b="24561"/>
        <a:stretch/>
      </xdr:blipFill>
      <xdr:spPr bwMode="auto">
        <a:xfrm>
          <a:off x="4065542" y="7414135"/>
          <a:ext cx="553833" cy="1968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575211</xdr:colOff>
      <xdr:row>57</xdr:row>
      <xdr:rowOff>204107</xdr:rowOff>
    </xdr:from>
    <xdr:to>
      <xdr:col>7</xdr:col>
      <xdr:colOff>135015</xdr:colOff>
      <xdr:row>58</xdr:row>
      <xdr:rowOff>446101</xdr:rowOff>
    </xdr:to>
    <xdr:pic>
      <xdr:nvPicPr>
        <xdr:cNvPr id="69" name="図 68"/>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7639" r="27402"/>
        <a:stretch/>
      </xdr:blipFill>
      <xdr:spPr bwMode="auto">
        <a:xfrm>
          <a:off x="2059106" y="13288449"/>
          <a:ext cx="2918621" cy="46257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562840</xdr:colOff>
      <xdr:row>58</xdr:row>
      <xdr:rowOff>445325</xdr:rowOff>
    </xdr:from>
    <xdr:to>
      <xdr:col>7</xdr:col>
      <xdr:colOff>130264</xdr:colOff>
      <xdr:row>60</xdr:row>
      <xdr:rowOff>21871</xdr:rowOff>
    </xdr:to>
    <xdr:pic>
      <xdr:nvPicPr>
        <xdr:cNvPr id="70" name="図 69"/>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27758" r="27165"/>
        <a:stretch/>
      </xdr:blipFill>
      <xdr:spPr bwMode="auto">
        <a:xfrm>
          <a:off x="2047256" y="13965877"/>
          <a:ext cx="2919730" cy="4610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473705</xdr:colOff>
      <xdr:row>97</xdr:row>
      <xdr:rowOff>100010</xdr:rowOff>
    </xdr:from>
    <xdr:to>
      <xdr:col>7</xdr:col>
      <xdr:colOff>210039</xdr:colOff>
      <xdr:row>99</xdr:row>
      <xdr:rowOff>51612</xdr:rowOff>
    </xdr:to>
    <xdr:pic>
      <xdr:nvPicPr>
        <xdr:cNvPr id="71" name="図 70"/>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5978" r="26335"/>
        <a:stretch/>
      </xdr:blipFill>
      <xdr:spPr bwMode="auto">
        <a:xfrm>
          <a:off x="1957600" y="22208036"/>
          <a:ext cx="3095151" cy="45291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477256</xdr:colOff>
      <xdr:row>98</xdr:row>
      <xdr:rowOff>262100</xdr:rowOff>
    </xdr:from>
    <xdr:to>
      <xdr:col>7</xdr:col>
      <xdr:colOff>213590</xdr:colOff>
      <xdr:row>100</xdr:row>
      <xdr:rowOff>50717</xdr:rowOff>
    </xdr:to>
    <xdr:pic>
      <xdr:nvPicPr>
        <xdr:cNvPr id="72" name="図 7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5979" t="-7" r="26335" b="7"/>
        <a:stretch/>
      </xdr:blipFill>
      <xdr:spPr bwMode="auto">
        <a:xfrm>
          <a:off x="1961151" y="22540574"/>
          <a:ext cx="3095151" cy="45035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163987</xdr:colOff>
      <xdr:row>99</xdr:row>
      <xdr:rowOff>285015</xdr:rowOff>
    </xdr:from>
    <xdr:to>
      <xdr:col>6</xdr:col>
      <xdr:colOff>396178</xdr:colOff>
      <xdr:row>102</xdr:row>
      <xdr:rowOff>26064</xdr:rowOff>
    </xdr:to>
    <xdr:pic>
      <xdr:nvPicPr>
        <xdr:cNvPr id="73" name="図 72"/>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5979" t="-7" r="63612" b="7"/>
        <a:stretch/>
      </xdr:blipFill>
      <xdr:spPr bwMode="auto">
        <a:xfrm>
          <a:off x="3800220" y="22803917"/>
          <a:ext cx="669826" cy="45800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759865</xdr:colOff>
      <xdr:row>115</xdr:row>
      <xdr:rowOff>72493</xdr:rowOff>
    </xdr:from>
    <xdr:to>
      <xdr:col>5</xdr:col>
      <xdr:colOff>388590</xdr:colOff>
      <xdr:row>117</xdr:row>
      <xdr:rowOff>18646</xdr:rowOff>
    </xdr:to>
    <xdr:pic>
      <xdr:nvPicPr>
        <xdr:cNvPr id="74" name="図 73"/>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35469" r="35112"/>
        <a:stretch/>
      </xdr:blipFill>
      <xdr:spPr bwMode="auto">
        <a:xfrm>
          <a:off x="2243760" y="25860177"/>
          <a:ext cx="1784384" cy="42741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705773</xdr:colOff>
      <xdr:row>117</xdr:row>
      <xdr:rowOff>14698</xdr:rowOff>
    </xdr:from>
    <xdr:to>
      <xdr:col>5</xdr:col>
      <xdr:colOff>359873</xdr:colOff>
      <xdr:row>119</xdr:row>
      <xdr:rowOff>58066</xdr:rowOff>
    </xdr:to>
    <xdr:pic>
      <xdr:nvPicPr>
        <xdr:cNvPr id="75" name="図 74"/>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34164" r="36418"/>
        <a:stretch/>
      </xdr:blipFill>
      <xdr:spPr bwMode="auto">
        <a:xfrm>
          <a:off x="2189668" y="26283645"/>
          <a:ext cx="1809759" cy="44442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629473</xdr:colOff>
      <xdr:row>130</xdr:row>
      <xdr:rowOff>100657</xdr:rowOff>
    </xdr:from>
    <xdr:to>
      <xdr:col>6</xdr:col>
      <xdr:colOff>142225</xdr:colOff>
      <xdr:row>132</xdr:row>
      <xdr:rowOff>6235</xdr:rowOff>
    </xdr:to>
    <xdr:pic>
      <xdr:nvPicPr>
        <xdr:cNvPr id="76" name="図 75"/>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33689" r="32859"/>
        <a:stretch/>
      </xdr:blipFill>
      <xdr:spPr bwMode="auto">
        <a:xfrm>
          <a:off x="2113368" y="28675657"/>
          <a:ext cx="2109569" cy="44699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615747</xdr:colOff>
      <xdr:row>131</xdr:row>
      <xdr:rowOff>328475</xdr:rowOff>
    </xdr:from>
    <xdr:to>
      <xdr:col>6</xdr:col>
      <xdr:colOff>72833</xdr:colOff>
      <xdr:row>134</xdr:row>
      <xdr:rowOff>27014</xdr:rowOff>
    </xdr:to>
    <xdr:pic>
      <xdr:nvPicPr>
        <xdr:cNvPr id="77" name="図 76"/>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3452" r="33096"/>
        <a:stretch/>
      </xdr:blipFill>
      <xdr:spPr bwMode="auto">
        <a:xfrm>
          <a:off x="2110439" y="29152590"/>
          <a:ext cx="2050818" cy="43847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188713</xdr:colOff>
      <xdr:row>132</xdr:row>
      <xdr:rowOff>269426</xdr:rowOff>
    </xdr:from>
    <xdr:to>
      <xdr:col>6</xdr:col>
      <xdr:colOff>636264</xdr:colOff>
      <xdr:row>136</xdr:row>
      <xdr:rowOff>3533</xdr:rowOff>
    </xdr:to>
    <xdr:pic>
      <xdr:nvPicPr>
        <xdr:cNvPr id="78" name="図 77"/>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33689" r="52218"/>
        <a:stretch/>
      </xdr:blipFill>
      <xdr:spPr bwMode="auto">
        <a:xfrm>
          <a:off x="3824600" y="29254103"/>
          <a:ext cx="887954" cy="45104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86591</xdr:colOff>
      <xdr:row>202</xdr:row>
      <xdr:rowOff>30925</xdr:rowOff>
    </xdr:from>
    <xdr:to>
      <xdr:col>4</xdr:col>
      <xdr:colOff>495886</xdr:colOff>
      <xdr:row>204</xdr:row>
      <xdr:rowOff>9500</xdr:rowOff>
    </xdr:to>
    <xdr:pic>
      <xdr:nvPicPr>
        <xdr:cNvPr id="79" name="図 78"/>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8944" r="27402"/>
        <a:stretch/>
      </xdr:blipFill>
      <xdr:spPr bwMode="auto">
        <a:xfrm>
          <a:off x="583252" y="44036425"/>
          <a:ext cx="2831365" cy="454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133597</xdr:colOff>
      <xdr:row>220</xdr:row>
      <xdr:rowOff>49480</xdr:rowOff>
    </xdr:from>
    <xdr:to>
      <xdr:col>4</xdr:col>
      <xdr:colOff>542892</xdr:colOff>
      <xdr:row>222</xdr:row>
      <xdr:rowOff>28054</xdr:rowOff>
    </xdr:to>
    <xdr:pic>
      <xdr:nvPicPr>
        <xdr:cNvPr id="80" name="図 79"/>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8944" r="27402"/>
        <a:stretch/>
      </xdr:blipFill>
      <xdr:spPr bwMode="auto">
        <a:xfrm>
          <a:off x="630258" y="47994248"/>
          <a:ext cx="2831365" cy="45482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18</xdr:row>
      <xdr:rowOff>38100</xdr:rowOff>
    </xdr:from>
    <xdr:to>
      <xdr:col>3</xdr:col>
      <xdr:colOff>803549</xdr:colOff>
      <xdr:row>19</xdr:row>
      <xdr:rowOff>161925</xdr:rowOff>
    </xdr:to>
    <xdr:pic>
      <xdr:nvPicPr>
        <xdr:cNvPr id="3" name="図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408" r="37143"/>
        <a:stretch/>
      </xdr:blipFill>
      <xdr:spPr bwMode="auto">
        <a:xfrm>
          <a:off x="809625" y="4514850"/>
          <a:ext cx="2146327" cy="2952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74"/>
  <sheetViews>
    <sheetView tabSelected="1" view="pageBreakPreview" zoomScaleNormal="100" zoomScaleSheetLayoutView="100" workbookViewId="0">
      <selection activeCell="B3" sqref="B3:H4"/>
    </sheetView>
  </sheetViews>
  <sheetFormatPr defaultColWidth="9" defaultRowHeight="13.5"/>
  <cols>
    <col min="1" max="1" width="13.625" style="12" customWidth="1"/>
    <col min="2" max="2" width="11.25" style="12" customWidth="1"/>
    <col min="3" max="4" width="5.25" style="12" customWidth="1"/>
    <col min="5" max="5" width="5.875" style="12" customWidth="1"/>
    <col min="6" max="6" width="7.375" style="12" customWidth="1"/>
    <col min="7" max="7" width="6.5" style="12" customWidth="1"/>
    <col min="8" max="8" width="9.625" style="12" customWidth="1"/>
    <col min="9" max="9" width="5" style="12" customWidth="1"/>
    <col min="10" max="10" width="5.375" style="12" customWidth="1"/>
    <col min="11" max="11" width="7.625" style="12" customWidth="1"/>
    <col min="12" max="12" width="7.5" style="12" customWidth="1"/>
    <col min="13" max="13" width="5.625" style="12" customWidth="1"/>
    <col min="14" max="14" width="12.375" style="12" customWidth="1"/>
    <col min="15" max="16384" width="9" style="12"/>
  </cols>
  <sheetData>
    <row r="1" spans="1:20" ht="14.25" thickBot="1">
      <c r="A1" s="460"/>
      <c r="B1" s="460"/>
      <c r="C1" s="460"/>
      <c r="D1" s="460"/>
      <c r="E1" s="460"/>
      <c r="F1" s="460"/>
      <c r="G1" s="461"/>
      <c r="H1" s="163"/>
      <c r="I1" s="585"/>
      <c r="J1" s="585"/>
      <c r="K1" s="570"/>
      <c r="L1" s="570"/>
    </row>
    <row r="2" spans="1:20" ht="18.75" customHeight="1" thickBot="1">
      <c r="A2" s="573" t="s">
        <v>165</v>
      </c>
      <c r="B2" s="574"/>
      <c r="C2" s="574"/>
      <c r="D2" s="574"/>
      <c r="E2" s="574"/>
      <c r="F2" s="574"/>
      <c r="G2" s="574"/>
      <c r="H2" s="574"/>
      <c r="I2" s="574"/>
      <c r="J2" s="574"/>
      <c r="K2" s="574"/>
      <c r="L2" s="575"/>
    </row>
    <row r="3" spans="1:20" ht="15.75" customHeight="1">
      <c r="A3" s="578" t="s">
        <v>30</v>
      </c>
      <c r="B3" s="598" t="s">
        <v>520</v>
      </c>
      <c r="C3" s="599"/>
      <c r="D3" s="599"/>
      <c r="E3" s="599"/>
      <c r="F3" s="599"/>
      <c r="G3" s="599"/>
      <c r="H3" s="600"/>
      <c r="I3" s="522" t="s">
        <v>166</v>
      </c>
      <c r="J3" s="523"/>
      <c r="K3" s="594"/>
      <c r="L3" s="595"/>
    </row>
    <row r="4" spans="1:20" ht="15.75" customHeight="1">
      <c r="A4" s="579"/>
      <c r="B4" s="601"/>
      <c r="C4" s="602"/>
      <c r="D4" s="602"/>
      <c r="E4" s="602"/>
      <c r="F4" s="602"/>
      <c r="G4" s="602"/>
      <c r="H4" s="603"/>
      <c r="I4" s="524" t="s">
        <v>39</v>
      </c>
      <c r="J4" s="488"/>
      <c r="K4" s="596"/>
      <c r="L4" s="597"/>
    </row>
    <row r="5" spans="1:20" ht="20.25" customHeight="1">
      <c r="A5" s="33" t="s">
        <v>31</v>
      </c>
      <c r="B5" s="582"/>
      <c r="C5" s="583"/>
      <c r="D5" s="583"/>
      <c r="E5" s="583"/>
      <c r="F5" s="584"/>
      <c r="G5" s="607" t="s">
        <v>3</v>
      </c>
      <c r="H5" s="609"/>
      <c r="I5" s="610"/>
      <c r="J5" s="610"/>
      <c r="K5" s="610"/>
      <c r="L5" s="611"/>
      <c r="N5" s="29"/>
    </row>
    <row r="6" spans="1:20" ht="18.75" customHeight="1" thickBot="1">
      <c r="A6" s="34" t="s">
        <v>2</v>
      </c>
      <c r="B6" s="604"/>
      <c r="C6" s="605"/>
      <c r="D6" s="605"/>
      <c r="E6" s="605"/>
      <c r="F6" s="606"/>
      <c r="G6" s="608"/>
      <c r="H6" s="612"/>
      <c r="I6" s="613"/>
      <c r="J6" s="613"/>
      <c r="K6" s="613"/>
      <c r="L6" s="614"/>
      <c r="N6" s="29"/>
    </row>
    <row r="7" spans="1:20" ht="20.25" customHeight="1">
      <c r="A7" s="395" t="s">
        <v>5</v>
      </c>
      <c r="B7" s="619"/>
      <c r="C7" s="620"/>
      <c r="D7" s="620"/>
      <c r="E7" s="620"/>
      <c r="F7" s="620"/>
      <c r="G7" s="571" t="s">
        <v>21</v>
      </c>
      <c r="H7" s="562"/>
      <c r="I7" s="563"/>
      <c r="J7" s="563"/>
      <c r="K7" s="563"/>
      <c r="L7" s="564"/>
    </row>
    <row r="8" spans="1:20" ht="19.5" customHeight="1">
      <c r="A8" s="396" t="s">
        <v>6</v>
      </c>
      <c r="B8" s="472"/>
      <c r="C8" s="473"/>
      <c r="D8" s="368" t="s">
        <v>34</v>
      </c>
      <c r="E8" s="615"/>
      <c r="F8" s="616"/>
      <c r="G8" s="572"/>
      <c r="H8" s="565"/>
      <c r="I8" s="566"/>
      <c r="J8" s="566"/>
      <c r="K8" s="566"/>
      <c r="L8" s="567"/>
      <c r="N8" s="397"/>
    </row>
    <row r="9" spans="1:20" ht="24" customHeight="1">
      <c r="A9" s="398" t="s">
        <v>7</v>
      </c>
      <c r="B9" s="586"/>
      <c r="C9" s="587"/>
      <c r="D9" s="587"/>
      <c r="E9" s="587"/>
      <c r="F9" s="587"/>
      <c r="G9" s="587"/>
      <c r="H9" s="587"/>
      <c r="I9" s="587"/>
      <c r="J9" s="587"/>
      <c r="K9" s="587"/>
      <c r="L9" s="588"/>
    </row>
    <row r="10" spans="1:20" ht="19.5" customHeight="1">
      <c r="A10" s="617" t="s">
        <v>16</v>
      </c>
      <c r="B10" s="369" t="s">
        <v>97</v>
      </c>
      <c r="C10" s="576"/>
      <c r="D10" s="577"/>
      <c r="E10" s="289" t="s">
        <v>43</v>
      </c>
      <c r="F10" s="365"/>
      <c r="G10" s="289" t="s">
        <v>44</v>
      </c>
      <c r="H10" s="365"/>
      <c r="I10" s="525" t="s">
        <v>45</v>
      </c>
      <c r="J10" s="526"/>
      <c r="K10" s="376" t="s">
        <v>32</v>
      </c>
      <c r="L10" s="364"/>
    </row>
    <row r="11" spans="1:20" ht="19.5" customHeight="1">
      <c r="A11" s="578"/>
      <c r="B11" s="35" t="s">
        <v>8</v>
      </c>
      <c r="C11" s="591"/>
      <c r="D11" s="592"/>
      <c r="E11" s="592"/>
      <c r="F11" s="593"/>
      <c r="G11" s="533" t="s">
        <v>158</v>
      </c>
      <c r="H11" s="534"/>
      <c r="I11" s="682" t="s">
        <v>519</v>
      </c>
      <c r="J11" s="683"/>
      <c r="K11" s="683"/>
      <c r="L11" s="684"/>
    </row>
    <row r="12" spans="1:20" ht="25.5" customHeight="1">
      <c r="A12" s="578"/>
      <c r="B12" s="589" t="s">
        <v>102</v>
      </c>
      <c r="C12" s="362" t="s">
        <v>82</v>
      </c>
      <c r="D12" s="290"/>
      <c r="E12" s="361" t="s">
        <v>77</v>
      </c>
      <c r="F12" s="291"/>
      <c r="G12" s="691" t="s">
        <v>12</v>
      </c>
      <c r="H12" s="692"/>
      <c r="I12" s="362" t="s">
        <v>129</v>
      </c>
      <c r="J12" s="290"/>
      <c r="K12" s="360" t="s">
        <v>77</v>
      </c>
      <c r="L12" s="367"/>
    </row>
    <row r="13" spans="1:20" ht="15.75" customHeight="1">
      <c r="A13" s="578"/>
      <c r="B13" s="590"/>
      <c r="C13" s="656" t="s">
        <v>156</v>
      </c>
      <c r="D13" s="657"/>
      <c r="E13" s="658" t="s">
        <v>518</v>
      </c>
      <c r="F13" s="659"/>
      <c r="G13" s="522"/>
      <c r="H13" s="523"/>
      <c r="I13" s="656" t="s">
        <v>156</v>
      </c>
      <c r="J13" s="657"/>
      <c r="K13" s="658" t="s">
        <v>518</v>
      </c>
      <c r="L13" s="659"/>
    </row>
    <row r="14" spans="1:20" ht="19.5" customHeight="1">
      <c r="A14" s="578"/>
      <c r="B14" s="370" t="s">
        <v>13</v>
      </c>
      <c r="C14" s="677"/>
      <c r="D14" s="678"/>
      <c r="E14" s="488" t="s">
        <v>57</v>
      </c>
      <c r="F14" s="489"/>
      <c r="G14" s="524" t="s">
        <v>100</v>
      </c>
      <c r="H14" s="581"/>
      <c r="I14" s="704"/>
      <c r="J14" s="705"/>
      <c r="K14" s="698" t="s">
        <v>22</v>
      </c>
      <c r="L14" s="699"/>
    </row>
    <row r="15" spans="1:20" ht="19.5" customHeight="1">
      <c r="A15" s="578"/>
      <c r="B15" s="370" t="s">
        <v>101</v>
      </c>
      <c r="C15" s="677"/>
      <c r="D15" s="707"/>
      <c r="E15" s="488" t="s">
        <v>58</v>
      </c>
      <c r="F15" s="580"/>
      <c r="G15" s="533" t="s">
        <v>99</v>
      </c>
      <c r="H15" s="534"/>
      <c r="I15" s="534"/>
      <c r="J15" s="535"/>
      <c r="K15" s="363"/>
      <c r="L15" s="292" t="s">
        <v>98</v>
      </c>
      <c r="N15" s="36" t="s">
        <v>455</v>
      </c>
    </row>
    <row r="16" spans="1:20" ht="29.45" customHeight="1" thickBot="1">
      <c r="A16" s="618"/>
      <c r="B16" s="550" t="s">
        <v>103</v>
      </c>
      <c r="C16" s="551"/>
      <c r="D16" s="551"/>
      <c r="E16" s="551"/>
      <c r="F16" s="552"/>
      <c r="G16" s="679" t="s">
        <v>449</v>
      </c>
      <c r="H16" s="680"/>
      <c r="I16" s="680"/>
      <c r="J16" s="680"/>
      <c r="K16" s="680"/>
      <c r="L16" s="681"/>
      <c r="N16" s="470" t="s">
        <v>449</v>
      </c>
      <c r="O16" s="470" t="s">
        <v>139</v>
      </c>
      <c r="P16" s="470" t="s">
        <v>148</v>
      </c>
      <c r="Q16" s="471" t="s">
        <v>140</v>
      </c>
      <c r="R16" s="36"/>
      <c r="S16" s="36"/>
      <c r="T16" s="36"/>
    </row>
    <row r="17" spans="1:18" ht="3.75" customHeight="1" thickBot="1">
      <c r="A17" s="706"/>
      <c r="B17" s="706"/>
      <c r="C17" s="706"/>
      <c r="D17" s="706"/>
      <c r="E17" s="706"/>
      <c r="F17" s="706"/>
      <c r="G17" s="706"/>
      <c r="H17" s="706"/>
      <c r="I17" s="706"/>
      <c r="J17" s="706"/>
      <c r="K17" s="706"/>
      <c r="L17" s="706"/>
    </row>
    <row r="18" spans="1:18" ht="21" customHeight="1">
      <c r="A18" s="478" t="s">
        <v>178</v>
      </c>
      <c r="B18" s="257" t="s">
        <v>458</v>
      </c>
      <c r="C18" s="372"/>
      <c r="D18" s="372"/>
      <c r="E18" s="256"/>
      <c r="F18" s="256"/>
      <c r="G18" s="256"/>
      <c r="H18" s="293"/>
      <c r="I18" s="256"/>
      <c r="J18" s="256"/>
      <c r="K18" s="256"/>
      <c r="L18" s="277"/>
    </row>
    <row r="19" spans="1:18" ht="11.25" customHeight="1">
      <c r="A19" s="479"/>
      <c r="B19" s="258"/>
      <c r="C19" s="671" t="s">
        <v>132</v>
      </c>
      <c r="D19" s="672"/>
      <c r="E19" s="505"/>
      <c r="F19" s="506"/>
      <c r="G19" s="503" t="s">
        <v>180</v>
      </c>
      <c r="H19" s="557" t="str">
        <f>IF('1.定格エネルギー消費量'!H67&lt;-10,"",IF('1.定格エネルギー消費量'!H67&gt;10,"",'1.定格エネルギー消費量'!H62))</f>
        <v/>
      </c>
      <c r="I19" s="558" t="s">
        <v>111</v>
      </c>
      <c r="J19" s="558"/>
      <c r="K19" s="696" t="str">
        <f>IF(AND(H19&lt;&gt;"",H19&lt;&gt;"-"),"ガス消費量の許容差","")</f>
        <v/>
      </c>
      <c r="L19" s="697"/>
      <c r="N19" s="36"/>
      <c r="P19" s="13"/>
      <c r="Q19" s="36"/>
      <c r="R19" s="13"/>
    </row>
    <row r="20" spans="1:18" ht="11.25" customHeight="1">
      <c r="A20" s="479"/>
      <c r="B20" s="258"/>
      <c r="C20" s="673"/>
      <c r="D20" s="674"/>
      <c r="E20" s="507"/>
      <c r="F20" s="508"/>
      <c r="G20" s="504"/>
      <c r="H20" s="514"/>
      <c r="I20" s="559"/>
      <c r="J20" s="559"/>
      <c r="K20" s="230" t="str">
        <f>IF(AND(H19&lt;&gt;"",H19&lt;&gt;"-"),+'1.定格エネルギー消費量'!E68,"")</f>
        <v/>
      </c>
      <c r="L20" s="231" t="str">
        <f>IF(AND(H19&lt;&gt;"",H19&lt;&gt;"-"),+'1.定格エネルギー消費量'!G68,"")</f>
        <v/>
      </c>
      <c r="N20" s="36"/>
      <c r="O20" s="13"/>
      <c r="P20" s="13"/>
      <c r="Q20" s="36"/>
      <c r="R20" s="13"/>
    </row>
    <row r="21" spans="1:18" ht="11.25" customHeight="1">
      <c r="A21" s="479"/>
      <c r="B21" s="258"/>
      <c r="C21" s="676" t="s">
        <v>133</v>
      </c>
      <c r="D21" s="509"/>
      <c r="E21" s="509"/>
      <c r="F21" s="510"/>
      <c r="G21" s="694" t="s">
        <v>181</v>
      </c>
      <c r="H21" s="557" t="str">
        <f>IF(AND('1.定格エネルギー消費量'!H117&lt;&gt;"",'1.定格エネルギー消費量'!H90="",'1.定格エネルギー消費量'!H98="",'1.定格エネルギー消費量'!H117&lt;='1.定格エネルギー消費量'!E118,'1.定格エネルギー消費量'!H117&gt;='1.定格エネルギー消費量'!G118,'1.定格エネルギー消費量'!H114&lt;&gt;""),'1.定格エネルギー消費量'!H114,IF(OR('1.定格エネルギー消費量'!H90&lt;&gt;"",'1.定格エネルギー消費量'!H98&lt;&gt;""),"- ",""))</f>
        <v/>
      </c>
      <c r="I21" s="558" t="s">
        <v>111</v>
      </c>
      <c r="J21" s="558"/>
      <c r="K21" s="703" t="str">
        <f>IF(AND(H21&lt;&gt;"",H21&lt;&gt;"-"),"消費電力の許容差","")</f>
        <v/>
      </c>
      <c r="L21" s="697"/>
      <c r="N21" s="36"/>
      <c r="P21" s="13"/>
      <c r="Q21" s="36"/>
      <c r="R21" s="13"/>
    </row>
    <row r="22" spans="1:18" ht="11.25" customHeight="1">
      <c r="A22" s="479"/>
      <c r="B22" s="258"/>
      <c r="C22" s="676"/>
      <c r="D22" s="509"/>
      <c r="E22" s="509"/>
      <c r="F22" s="510"/>
      <c r="G22" s="695"/>
      <c r="H22" s="513"/>
      <c r="I22" s="702"/>
      <c r="J22" s="702"/>
      <c r="K22" s="59" t="str">
        <f>IF(AND(H21&lt;&gt;"",H21&lt;&gt;"-"),+'1.定格エネルギー消費量'!E118,"")</f>
        <v/>
      </c>
      <c r="L22" s="54" t="str">
        <f>IF(AND(H21&lt;&gt;"",H21&lt;&gt;"-"),+'1.定格エネルギー消費量'!G118,"")</f>
        <v/>
      </c>
      <c r="N22" s="36"/>
      <c r="O22" s="13"/>
      <c r="P22" s="13"/>
      <c r="Q22" s="36"/>
      <c r="R22" s="13"/>
    </row>
    <row r="23" spans="1:18" ht="9" customHeight="1">
      <c r="A23" s="479"/>
      <c r="B23" s="258"/>
      <c r="C23" s="258"/>
      <c r="D23" s="259"/>
      <c r="E23" s="510"/>
      <c r="F23" s="527" t="s">
        <v>130</v>
      </c>
      <c r="G23" s="528"/>
      <c r="H23" s="700" t="str">
        <f>IF(AND('1.定格エネルギー消費量'!H90&lt;='1.定格エネルギー消費量'!E91,'1.定格エネルギー消費量'!H90&gt;='1.定格エネルギー消費量'!G91),'1.定格エネルギー消費量'!H86,IF(AND(H21&lt;&gt;"",H21&lt;&gt;"-"),"-",""))</f>
        <v/>
      </c>
      <c r="I23" s="515" t="str">
        <f>IF(AND(H23&lt;&gt;"",H23&lt;&gt;"-"),"(kW）","")</f>
        <v/>
      </c>
      <c r="J23" s="516"/>
      <c r="K23" s="545" t="str">
        <f>IF(AND(H23&lt;&gt;"",H23&lt;&gt;"-"),"消費電力の許容差","")</f>
        <v/>
      </c>
      <c r="L23" s="546"/>
      <c r="N23" s="37"/>
      <c r="O23" s="17"/>
      <c r="P23" s="17"/>
      <c r="Q23" s="37"/>
    </row>
    <row r="24" spans="1:18" ht="9" customHeight="1">
      <c r="A24" s="479"/>
      <c r="B24" s="258"/>
      <c r="C24" s="258"/>
      <c r="D24" s="259"/>
      <c r="E24" s="510"/>
      <c r="F24" s="676"/>
      <c r="G24" s="510"/>
      <c r="H24" s="701"/>
      <c r="I24" s="497"/>
      <c r="J24" s="498"/>
      <c r="K24" s="55" t="str">
        <f>IF(AND(H23&lt;&gt;"",H23&lt;&gt;"-"),'1.定格エネルギー消費量'!E91,"")</f>
        <v/>
      </c>
      <c r="L24" s="56" t="str">
        <f>IF(AND(H23&lt;&gt;"",H23&lt;&gt;"-"),'1.定格エネルギー消費量'!G91,"")</f>
        <v/>
      </c>
      <c r="N24" s="37"/>
      <c r="O24" s="17"/>
      <c r="P24" s="17"/>
      <c r="Q24" s="37"/>
    </row>
    <row r="25" spans="1:18" ht="9" customHeight="1">
      <c r="A25" s="479"/>
      <c r="B25" s="258"/>
      <c r="C25" s="258"/>
      <c r="D25" s="259"/>
      <c r="E25" s="510"/>
      <c r="F25" s="529"/>
      <c r="G25" s="530"/>
      <c r="H25" s="557"/>
      <c r="I25" s="499"/>
      <c r="J25" s="500"/>
      <c r="K25" s="685" t="str">
        <f>IF(AND(H23&lt;&gt;"",H23&lt;&gt;"-"),'1.定格エネルギー消費量'!H88&amp;"Hz時","")</f>
        <v/>
      </c>
      <c r="L25" s="686"/>
      <c r="N25" s="37"/>
      <c r="O25" s="17"/>
      <c r="P25" s="17"/>
      <c r="Q25" s="37"/>
    </row>
    <row r="26" spans="1:18" ht="12.75" customHeight="1">
      <c r="A26" s="479"/>
      <c r="B26" s="258"/>
      <c r="C26" s="258"/>
      <c r="D26" s="259"/>
      <c r="E26" s="510"/>
      <c r="F26" s="527" t="s">
        <v>131</v>
      </c>
      <c r="G26" s="528"/>
      <c r="H26" s="700" t="str">
        <f>IF(AND('1.定格エネルギー消費量'!H98&lt;='1.定格エネルギー消費量'!E99,'1.定格エネルギー消費量'!H98&gt;='1.定格エネルギー消費量'!G99),'1.定格エネルギー消費量'!H96,IF(AND(H21&lt;&gt;"",H21&lt;&gt;"-"),"-",""))</f>
        <v/>
      </c>
      <c r="I26" s="515" t="str">
        <f>IF(AND(H26&lt;&gt;"",H26&lt;&gt;"-"),"(kW）","")</f>
        <v/>
      </c>
      <c r="J26" s="516"/>
      <c r="K26" s="545" t="str">
        <f>IF(AND(H26&lt;&gt;"",H26&lt;&gt;"-"),"消費電力の許容差","")</f>
        <v/>
      </c>
      <c r="L26" s="546"/>
      <c r="N26" s="37"/>
      <c r="O26" s="17"/>
      <c r="P26" s="17"/>
      <c r="Q26" s="37"/>
    </row>
    <row r="27" spans="1:18" ht="12.75" customHeight="1">
      <c r="A27" s="479"/>
      <c r="B27" s="260"/>
      <c r="C27" s="260"/>
      <c r="D27" s="261"/>
      <c r="E27" s="530"/>
      <c r="F27" s="529"/>
      <c r="G27" s="530"/>
      <c r="H27" s="557"/>
      <c r="I27" s="499"/>
      <c r="J27" s="500"/>
      <c r="K27" s="57" t="str">
        <f>IF(AND(H26&lt;&gt;"",H26&lt;&gt;"-"),'1.定格エネルギー消費量'!E99,"")</f>
        <v/>
      </c>
      <c r="L27" s="58" t="str">
        <f>IF(AND(H26&lt;&gt;"",H26&lt;&gt;"-"),'1.定格エネルギー消費量'!G99,"")</f>
        <v/>
      </c>
      <c r="N27" s="37"/>
      <c r="O27" s="17"/>
      <c r="P27" s="17"/>
      <c r="Q27" s="37"/>
    </row>
    <row r="28" spans="1:18" ht="24" customHeight="1">
      <c r="A28" s="479"/>
      <c r="B28" s="668" t="s">
        <v>112</v>
      </c>
      <c r="C28" s="669"/>
      <c r="D28" s="669"/>
      <c r="E28" s="669"/>
      <c r="F28" s="670"/>
      <c r="G28" s="269" t="s">
        <v>93</v>
      </c>
      <c r="H28" s="356"/>
      <c r="I28" s="270"/>
      <c r="J28" s="270"/>
      <c r="K28" s="270"/>
      <c r="L28" s="271"/>
      <c r="N28" s="37"/>
      <c r="O28" s="17"/>
      <c r="P28" s="17"/>
      <c r="Q28" s="37"/>
    </row>
    <row r="29" spans="1:18" ht="11.25" customHeight="1">
      <c r="A29" s="479"/>
      <c r="B29" s="641" t="s">
        <v>113</v>
      </c>
      <c r="C29" s="642"/>
      <c r="D29" s="642"/>
      <c r="E29" s="642"/>
      <c r="F29" s="643"/>
      <c r="G29" s="476" t="s">
        <v>182</v>
      </c>
      <c r="H29" s="660" t="b">
        <f>IF(表紙!$G$16="選択してください","",IF(表紙!$G$16="A.給湯(標準温度:60℃)を接続し、立上り時の給湯が洗浄タンクに直接入る場合",IF('3.立上り性能A'!H41&lt;&gt;"",'3.立上り性能A'!H41,""),IF(表紙!$G$16="B.給湯(標準温度:60℃)を接続し、立上り時の給湯が仕上げすすぎﾀﾝｸに入る場合",IF('3.立上り性能B'!G42&lt;&gt;"",'3.立上り性能B'!G42,""),IF(表紙!$G$16="C.給水(標準温度:15℃)を接続する場合",IF('3.立上り性能C'!G42&lt;&gt;"",'3.立上り性能C'!G42,"")))))</f>
        <v>0</v>
      </c>
      <c r="I29" s="497" t="s">
        <v>9</v>
      </c>
      <c r="J29" s="498"/>
      <c r="K29" s="651"/>
      <c r="L29" s="652"/>
      <c r="N29" s="37"/>
      <c r="O29" s="13"/>
      <c r="P29" s="13"/>
      <c r="Q29" s="37"/>
    </row>
    <row r="30" spans="1:18" ht="11.25" customHeight="1">
      <c r="A30" s="479"/>
      <c r="B30" s="644"/>
      <c r="C30" s="642"/>
      <c r="D30" s="642"/>
      <c r="E30" s="642"/>
      <c r="F30" s="643"/>
      <c r="G30" s="477"/>
      <c r="H30" s="661"/>
      <c r="I30" s="499"/>
      <c r="J30" s="500"/>
      <c r="K30" s="653"/>
      <c r="L30" s="654"/>
      <c r="N30" s="37"/>
      <c r="O30" s="13"/>
      <c r="P30" s="13"/>
      <c r="Q30" s="37"/>
    </row>
    <row r="31" spans="1:18" ht="11.25" customHeight="1">
      <c r="A31" s="479"/>
      <c r="B31" s="623" t="s">
        <v>114</v>
      </c>
      <c r="C31" s="624"/>
      <c r="D31" s="624"/>
      <c r="E31" s="624"/>
      <c r="F31" s="625"/>
      <c r="G31" s="693" t="s">
        <v>183</v>
      </c>
      <c r="H31" s="549" t="str">
        <f>'4.処理能力'!H61</f>
        <v/>
      </c>
      <c r="I31" s="515" t="s">
        <v>14</v>
      </c>
      <c r="J31" s="516"/>
      <c r="K31" s="490"/>
      <c r="L31" s="491"/>
    </row>
    <row r="32" spans="1:18" ht="11.25" customHeight="1">
      <c r="A32" s="479"/>
      <c r="B32" s="626"/>
      <c r="C32" s="627"/>
      <c r="D32" s="627"/>
      <c r="E32" s="627"/>
      <c r="F32" s="628"/>
      <c r="G32" s="477"/>
      <c r="H32" s="549"/>
      <c r="I32" s="499"/>
      <c r="J32" s="500"/>
      <c r="K32" s="492"/>
      <c r="L32" s="491"/>
    </row>
    <row r="33" spans="1:14" ht="22.5" customHeight="1">
      <c r="A33" s="479"/>
      <c r="B33" s="264" t="s">
        <v>459</v>
      </c>
      <c r="C33" s="265"/>
      <c r="D33" s="265"/>
      <c r="E33" s="265"/>
      <c r="F33" s="265"/>
      <c r="G33" s="262"/>
      <c r="H33" s="357"/>
      <c r="I33" s="262"/>
      <c r="J33" s="262"/>
      <c r="K33" s="262"/>
      <c r="L33" s="263"/>
    </row>
    <row r="34" spans="1:14" ht="11.25" customHeight="1">
      <c r="A34" s="479"/>
      <c r="B34" s="662"/>
      <c r="C34" s="536" t="s">
        <v>10</v>
      </c>
      <c r="D34" s="537"/>
      <c r="E34" s="537"/>
      <c r="F34" s="555" t="s">
        <v>132</v>
      </c>
      <c r="G34" s="501" t="s">
        <v>184</v>
      </c>
      <c r="H34" s="513" t="str">
        <f>'5.エネルギー消費量'!H24</f>
        <v/>
      </c>
      <c r="I34" s="515" t="s">
        <v>95</v>
      </c>
      <c r="J34" s="516"/>
      <c r="K34" s="492"/>
      <c r="L34" s="496"/>
    </row>
    <row r="35" spans="1:14" ht="11.25" customHeight="1">
      <c r="A35" s="479"/>
      <c r="B35" s="662"/>
      <c r="C35" s="539"/>
      <c r="D35" s="540"/>
      <c r="E35" s="540"/>
      <c r="F35" s="556"/>
      <c r="G35" s="502"/>
      <c r="H35" s="514"/>
      <c r="I35" s="517"/>
      <c r="J35" s="518"/>
      <c r="K35" s="519"/>
      <c r="L35" s="520"/>
      <c r="N35" s="38"/>
    </row>
    <row r="36" spans="1:14" ht="11.25" customHeight="1">
      <c r="A36" s="479"/>
      <c r="B36" s="662"/>
      <c r="C36" s="539"/>
      <c r="D36" s="540"/>
      <c r="E36" s="540"/>
      <c r="F36" s="629" t="s">
        <v>133</v>
      </c>
      <c r="G36" s="476" t="s">
        <v>185</v>
      </c>
      <c r="H36" s="557" t="str">
        <f>'5.エネルギー消費量'!H44</f>
        <v/>
      </c>
      <c r="I36" s="497" t="s">
        <v>95</v>
      </c>
      <c r="J36" s="498"/>
      <c r="K36" s="493"/>
      <c r="L36" s="494"/>
      <c r="N36" s="38"/>
    </row>
    <row r="37" spans="1:14" ht="11.25" customHeight="1">
      <c r="A37" s="479"/>
      <c r="B37" s="662"/>
      <c r="C37" s="621"/>
      <c r="D37" s="622"/>
      <c r="E37" s="622"/>
      <c r="F37" s="555"/>
      <c r="G37" s="477"/>
      <c r="H37" s="513"/>
      <c r="I37" s="499"/>
      <c r="J37" s="500"/>
      <c r="K37" s="495"/>
      <c r="L37" s="496"/>
      <c r="N37" s="38"/>
    </row>
    <row r="38" spans="1:14" ht="11.25" customHeight="1">
      <c r="A38" s="479"/>
      <c r="B38" s="662"/>
      <c r="C38" s="536" t="s">
        <v>108</v>
      </c>
      <c r="D38" s="537"/>
      <c r="E38" s="537"/>
      <c r="F38" s="555" t="s">
        <v>132</v>
      </c>
      <c r="G38" s="501" t="s">
        <v>512</v>
      </c>
      <c r="H38" s="513" t="str">
        <f>'5.エネルギー消費量'!H90</f>
        <v/>
      </c>
      <c r="I38" s="515" t="s">
        <v>95</v>
      </c>
      <c r="J38" s="516"/>
      <c r="K38" s="492"/>
      <c r="L38" s="496"/>
      <c r="N38" s="38"/>
    </row>
    <row r="39" spans="1:14" ht="11.25" customHeight="1">
      <c r="A39" s="479"/>
      <c r="B39" s="662"/>
      <c r="C39" s="539"/>
      <c r="D39" s="540"/>
      <c r="E39" s="540"/>
      <c r="F39" s="556"/>
      <c r="G39" s="502"/>
      <c r="H39" s="514"/>
      <c r="I39" s="517"/>
      <c r="J39" s="518"/>
      <c r="K39" s="519"/>
      <c r="L39" s="520"/>
      <c r="N39" s="38"/>
    </row>
    <row r="40" spans="1:14" ht="11.25" customHeight="1">
      <c r="A40" s="479"/>
      <c r="B40" s="662"/>
      <c r="C40" s="539"/>
      <c r="D40" s="540"/>
      <c r="E40" s="540"/>
      <c r="F40" s="629" t="s">
        <v>133</v>
      </c>
      <c r="G40" s="476" t="s">
        <v>186</v>
      </c>
      <c r="H40" s="557" t="str">
        <f>'5.エネルギー消費量'!H114</f>
        <v/>
      </c>
      <c r="I40" s="497" t="s">
        <v>95</v>
      </c>
      <c r="J40" s="498"/>
      <c r="K40" s="493"/>
      <c r="L40" s="494"/>
      <c r="N40" s="38"/>
    </row>
    <row r="41" spans="1:14" ht="11.25" customHeight="1">
      <c r="A41" s="479"/>
      <c r="B41" s="662"/>
      <c r="C41" s="621"/>
      <c r="D41" s="622"/>
      <c r="E41" s="622"/>
      <c r="F41" s="555"/>
      <c r="G41" s="477"/>
      <c r="H41" s="513"/>
      <c r="I41" s="499"/>
      <c r="J41" s="500"/>
      <c r="K41" s="495"/>
      <c r="L41" s="496"/>
      <c r="N41" s="38"/>
    </row>
    <row r="42" spans="1:14" ht="11.25" customHeight="1">
      <c r="A42" s="479"/>
      <c r="B42" s="662"/>
      <c r="C42" s="536" t="s">
        <v>40</v>
      </c>
      <c r="D42" s="537"/>
      <c r="E42" s="537"/>
      <c r="F42" s="555" t="s">
        <v>132</v>
      </c>
      <c r="G42" s="501" t="s">
        <v>187</v>
      </c>
      <c r="H42" s="475" t="str">
        <f>'5.エネルギー消費量'!H129</f>
        <v/>
      </c>
      <c r="I42" s="515" t="s">
        <v>11</v>
      </c>
      <c r="J42" s="516"/>
      <c r="K42" s="687" t="s">
        <v>89</v>
      </c>
      <c r="L42" s="688"/>
    </row>
    <row r="43" spans="1:14" ht="11.25" customHeight="1">
      <c r="A43" s="479"/>
      <c r="B43" s="662"/>
      <c r="C43" s="539"/>
      <c r="D43" s="540"/>
      <c r="E43" s="540"/>
      <c r="F43" s="556"/>
      <c r="G43" s="502"/>
      <c r="H43" s="521"/>
      <c r="I43" s="517"/>
      <c r="J43" s="518"/>
      <c r="K43" s="689"/>
      <c r="L43" s="690"/>
    </row>
    <row r="44" spans="1:14" ht="11.25" customHeight="1">
      <c r="A44" s="479"/>
      <c r="B44" s="662"/>
      <c r="C44" s="539"/>
      <c r="D44" s="540"/>
      <c r="E44" s="540"/>
      <c r="F44" s="629" t="s">
        <v>133</v>
      </c>
      <c r="G44" s="476" t="s">
        <v>188</v>
      </c>
      <c r="H44" s="474" t="str">
        <f>'5.エネルギー消費量'!H144</f>
        <v/>
      </c>
      <c r="I44" s="497" t="s">
        <v>11</v>
      </c>
      <c r="J44" s="498"/>
      <c r="K44" s="647" t="s">
        <v>89</v>
      </c>
      <c r="L44" s="648"/>
    </row>
    <row r="45" spans="1:14" ht="11.25" customHeight="1">
      <c r="A45" s="479"/>
      <c r="B45" s="662"/>
      <c r="C45" s="621"/>
      <c r="D45" s="622"/>
      <c r="E45" s="622"/>
      <c r="F45" s="555"/>
      <c r="G45" s="477"/>
      <c r="H45" s="475"/>
      <c r="I45" s="499"/>
      <c r="J45" s="500"/>
      <c r="K45" s="649"/>
      <c r="L45" s="650"/>
    </row>
    <row r="46" spans="1:14" ht="11.25" customHeight="1">
      <c r="A46" s="479"/>
      <c r="B46" s="662"/>
      <c r="C46" s="536" t="s">
        <v>15</v>
      </c>
      <c r="D46" s="537"/>
      <c r="E46" s="537"/>
      <c r="F46" s="555" t="s">
        <v>132</v>
      </c>
      <c r="G46" s="501" t="s">
        <v>189</v>
      </c>
      <c r="H46" s="475" t="str">
        <f>'5.エネルギー消費量'!H179</f>
        <v/>
      </c>
      <c r="I46" s="515" t="s">
        <v>11</v>
      </c>
      <c r="J46" s="516"/>
      <c r="K46" s="495"/>
      <c r="L46" s="496"/>
    </row>
    <row r="47" spans="1:14" ht="11.25" customHeight="1">
      <c r="A47" s="479"/>
      <c r="B47" s="662"/>
      <c r="C47" s="539"/>
      <c r="D47" s="540"/>
      <c r="E47" s="540"/>
      <c r="F47" s="556"/>
      <c r="G47" s="502"/>
      <c r="H47" s="521"/>
      <c r="I47" s="517"/>
      <c r="J47" s="518"/>
      <c r="K47" s="519"/>
      <c r="L47" s="520"/>
    </row>
    <row r="48" spans="1:14" ht="11.25" customHeight="1">
      <c r="A48" s="479"/>
      <c r="B48" s="662"/>
      <c r="C48" s="539"/>
      <c r="D48" s="540"/>
      <c r="E48" s="540"/>
      <c r="F48" s="629" t="s">
        <v>133</v>
      </c>
      <c r="G48" s="476" t="s">
        <v>190</v>
      </c>
      <c r="H48" s="474" t="str">
        <f>'5.エネルギー消費量'!H191</f>
        <v/>
      </c>
      <c r="I48" s="497" t="s">
        <v>11</v>
      </c>
      <c r="J48" s="498"/>
      <c r="K48" s="640"/>
      <c r="L48" s="494"/>
    </row>
    <row r="49" spans="1:14" ht="11.25" customHeight="1">
      <c r="A49" s="479"/>
      <c r="B49" s="662"/>
      <c r="C49" s="621"/>
      <c r="D49" s="622"/>
      <c r="E49" s="622"/>
      <c r="F49" s="555"/>
      <c r="G49" s="477"/>
      <c r="H49" s="475"/>
      <c r="I49" s="499"/>
      <c r="J49" s="500"/>
      <c r="K49" s="495"/>
      <c r="L49" s="496"/>
      <c r="N49" s="12" t="s">
        <v>455</v>
      </c>
    </row>
    <row r="50" spans="1:14" ht="9" customHeight="1">
      <c r="A50" s="479"/>
      <c r="B50" s="662"/>
      <c r="C50" s="536" t="s">
        <v>342</v>
      </c>
      <c r="D50" s="537"/>
      <c r="E50" s="537"/>
      <c r="F50" s="555" t="s">
        <v>134</v>
      </c>
      <c r="G50" s="637" t="s">
        <v>191</v>
      </c>
      <c r="H50" s="568" t="str">
        <f>'5.エネルギー消費量'!H216</f>
        <v/>
      </c>
      <c r="I50" s="515" t="s">
        <v>4</v>
      </c>
      <c r="J50" s="516"/>
      <c r="K50" s="645" t="str">
        <f>"処理量 "&amp;TEXT(+'5.エネルギー消費量'!H230,"0")&amp;"ラック/日"</f>
        <v>処理量 100ラック/日</v>
      </c>
      <c r="L50" s="646"/>
      <c r="N50" s="253">
        <f>+'5.エネルギー消費量'!H230</f>
        <v>100</v>
      </c>
    </row>
    <row r="51" spans="1:14" ht="9" customHeight="1">
      <c r="A51" s="479"/>
      <c r="B51" s="662"/>
      <c r="C51" s="539"/>
      <c r="D51" s="540"/>
      <c r="E51" s="540"/>
      <c r="F51" s="555"/>
      <c r="G51" s="637"/>
      <c r="H51" s="568"/>
      <c r="I51" s="497"/>
      <c r="J51" s="498"/>
      <c r="K51" s="486" t="str">
        <f>"洗浄水入替え回数 "&amp;TEXT(+'5.エネルギー消費量'!H232,"0")&amp;"回/日"</f>
        <v>洗浄水入替え回数 1回/日</v>
      </c>
      <c r="L51" s="487"/>
      <c r="N51" s="254">
        <f>+'5.エネルギー消費量'!H232</f>
        <v>1</v>
      </c>
    </row>
    <row r="52" spans="1:14" ht="9" customHeight="1">
      <c r="A52" s="479"/>
      <c r="B52" s="662"/>
      <c r="C52" s="539"/>
      <c r="D52" s="540"/>
      <c r="E52" s="540"/>
      <c r="F52" s="555"/>
      <c r="G52" s="637"/>
      <c r="H52" s="568"/>
      <c r="I52" s="497"/>
      <c r="J52" s="498"/>
      <c r="K52" s="486" t="str">
        <f>"稼働時間"&amp;TEXT(+'5.エネルギー消費量'!H229,"0.0")&amp;"h/日"</f>
        <v>稼働時間10.0h/日</v>
      </c>
      <c r="L52" s="487"/>
      <c r="N52" s="254">
        <f>+'5.エネルギー消費量'!H229</f>
        <v>10</v>
      </c>
    </row>
    <row r="53" spans="1:14" ht="9" customHeight="1">
      <c r="A53" s="479"/>
      <c r="B53" s="662"/>
      <c r="C53" s="539"/>
      <c r="D53" s="540"/>
      <c r="E53" s="540"/>
      <c r="F53" s="556"/>
      <c r="G53" s="675"/>
      <c r="H53" s="569"/>
      <c r="I53" s="517"/>
      <c r="J53" s="518"/>
      <c r="K53" s="511" t="str">
        <f>"立上り "&amp;TEXT(+'5.エネルギー消費量'!H231,"0")&amp;"回/日"</f>
        <v>立上り 1回/日</v>
      </c>
      <c r="L53" s="512"/>
      <c r="N53" s="254">
        <f>+'5.エネルギー消費量'!H231</f>
        <v>1</v>
      </c>
    </row>
    <row r="54" spans="1:14" ht="9" customHeight="1">
      <c r="A54" s="479"/>
      <c r="B54" s="662"/>
      <c r="C54" s="539"/>
      <c r="D54" s="540"/>
      <c r="E54" s="540"/>
      <c r="F54" s="629" t="s">
        <v>133</v>
      </c>
      <c r="G54" s="664" t="s">
        <v>192</v>
      </c>
      <c r="H54" s="655" t="str">
        <f>'5.エネルギー消費量'!H235</f>
        <v/>
      </c>
      <c r="I54" s="497" t="s">
        <v>4</v>
      </c>
      <c r="J54" s="498"/>
      <c r="K54" s="486" t="str">
        <f>"処理量 "&amp;TEXT(+'5.エネルギー消費量'!H230,"0")&amp;"ラック/日"</f>
        <v>処理量 100ラック/日</v>
      </c>
      <c r="L54" s="487"/>
      <c r="N54" s="255"/>
    </row>
    <row r="55" spans="1:14" ht="9" customHeight="1">
      <c r="A55" s="479"/>
      <c r="B55" s="662"/>
      <c r="C55" s="539"/>
      <c r="D55" s="540"/>
      <c r="E55" s="540"/>
      <c r="F55" s="555"/>
      <c r="G55" s="637"/>
      <c r="H55" s="568"/>
      <c r="I55" s="497"/>
      <c r="J55" s="498"/>
      <c r="K55" s="486" t="str">
        <f>"洗浄水入替え回数 "&amp;TEXT(+'5.エネルギー消費量'!H232,"0")&amp;"回/日"</f>
        <v>洗浄水入替え回数 1回/日</v>
      </c>
      <c r="L55" s="487"/>
    </row>
    <row r="56" spans="1:14" ht="9" customHeight="1">
      <c r="A56" s="479"/>
      <c r="B56" s="662"/>
      <c r="C56" s="539"/>
      <c r="D56" s="540"/>
      <c r="E56" s="540"/>
      <c r="F56" s="555"/>
      <c r="G56" s="637"/>
      <c r="H56" s="568"/>
      <c r="I56" s="497"/>
      <c r="J56" s="498"/>
      <c r="K56" s="486" t="str">
        <f>"稼働時間"&amp;TEXT(+'5.エネルギー消費量'!H229,"0.0")&amp;"h/日"</f>
        <v>稼働時間10.0h/日</v>
      </c>
      <c r="L56" s="487"/>
    </row>
    <row r="57" spans="1:14" ht="9" customHeight="1">
      <c r="A57" s="480"/>
      <c r="B57" s="663"/>
      <c r="C57" s="621"/>
      <c r="D57" s="622"/>
      <c r="E57" s="622"/>
      <c r="F57" s="555"/>
      <c r="G57" s="665"/>
      <c r="H57" s="568"/>
      <c r="I57" s="499"/>
      <c r="J57" s="500"/>
      <c r="K57" s="553" t="str">
        <f>"立上り "&amp;TEXT(+'5.エネルギー消費量'!H231,"0")&amp;"回/日"</f>
        <v>立上り 1回/日</v>
      </c>
      <c r="L57" s="554"/>
    </row>
    <row r="58" spans="1:14" ht="25.5" customHeight="1">
      <c r="A58" s="481" t="s">
        <v>491</v>
      </c>
      <c r="B58" s="561" t="s">
        <v>463</v>
      </c>
      <c r="C58" s="560" t="s">
        <v>80</v>
      </c>
      <c r="D58" s="560"/>
      <c r="E58" s="561"/>
      <c r="F58" s="561"/>
      <c r="G58" s="373" t="s">
        <v>193</v>
      </c>
      <c r="H58" s="371" t="str">
        <f>'6.給水量または給湯量'!H8</f>
        <v/>
      </c>
      <c r="I58" s="515" t="s">
        <v>59</v>
      </c>
      <c r="J58" s="516"/>
      <c r="K58" s="492"/>
      <c r="L58" s="496"/>
    </row>
    <row r="59" spans="1:14" ht="25.5" customHeight="1">
      <c r="A59" s="479"/>
      <c r="B59" s="561"/>
      <c r="C59" s="560" t="s">
        <v>81</v>
      </c>
      <c r="D59" s="560"/>
      <c r="E59" s="561"/>
      <c r="F59" s="561"/>
      <c r="G59" s="373" t="s">
        <v>194</v>
      </c>
      <c r="H59" s="371" t="str">
        <f>'6.給水量または給湯量'!H12</f>
        <v/>
      </c>
      <c r="I59" s="515" t="s">
        <v>60</v>
      </c>
      <c r="J59" s="516"/>
      <c r="K59" s="547"/>
      <c r="L59" s="548"/>
    </row>
    <row r="60" spans="1:14" ht="25.5" customHeight="1">
      <c r="A60" s="479"/>
      <c r="B60" s="561"/>
      <c r="C60" s="560" t="s">
        <v>94</v>
      </c>
      <c r="D60" s="560"/>
      <c r="E60" s="561"/>
      <c r="F60" s="561"/>
      <c r="G60" s="266" t="s">
        <v>93</v>
      </c>
      <c r="H60" s="358"/>
      <c r="I60" s="267"/>
      <c r="J60" s="267"/>
      <c r="K60" s="267"/>
      <c r="L60" s="268"/>
    </row>
    <row r="61" spans="1:14" ht="9" customHeight="1">
      <c r="A61" s="479"/>
      <c r="B61" s="561"/>
      <c r="C61" s="536" t="s">
        <v>457</v>
      </c>
      <c r="D61" s="537"/>
      <c r="E61" s="537"/>
      <c r="F61" s="538"/>
      <c r="G61" s="637" t="s">
        <v>195</v>
      </c>
      <c r="H61" s="632" t="str">
        <f>'6.給水量または給湯量'!H27</f>
        <v/>
      </c>
      <c r="I61" s="515" t="s">
        <v>61</v>
      </c>
      <c r="J61" s="516"/>
      <c r="K61" s="531" t="str">
        <f>"処理量 "&amp;TEXT(+'6.給水量または給湯量'!H25,"0")&amp;"ラック/日"</f>
        <v>処理量 100ラック/日</v>
      </c>
      <c r="L61" s="532"/>
      <c r="N61" s="250">
        <f>+'6.給水量または給湯量'!H25</f>
        <v>100</v>
      </c>
    </row>
    <row r="62" spans="1:14" ht="9" customHeight="1">
      <c r="A62" s="479"/>
      <c r="B62" s="666"/>
      <c r="C62" s="539"/>
      <c r="D62" s="540"/>
      <c r="E62" s="540"/>
      <c r="F62" s="541"/>
      <c r="G62" s="638"/>
      <c r="H62" s="633"/>
      <c r="I62" s="497"/>
      <c r="J62" s="498"/>
      <c r="K62" s="486" t="str">
        <f>"洗浄水入替え回数 "&amp;TEXT(+'6.給水量または給湯量'!H24,"0")&amp;"回/日"</f>
        <v>洗浄水入替え回数 1回/日</v>
      </c>
      <c r="L62" s="487"/>
      <c r="N62" s="251">
        <f>+'6.給水量または給湯量'!H24</f>
        <v>1</v>
      </c>
    </row>
    <row r="63" spans="1:14" ht="9" customHeight="1" thickBot="1">
      <c r="A63" s="482"/>
      <c r="B63" s="667"/>
      <c r="C63" s="542"/>
      <c r="D63" s="543"/>
      <c r="E63" s="543"/>
      <c r="F63" s="544"/>
      <c r="G63" s="639"/>
      <c r="H63" s="634"/>
      <c r="I63" s="635"/>
      <c r="J63" s="636"/>
      <c r="K63" s="630" t="str">
        <f>"立上り回数 "&amp;TEXT(+'6.給水量または給湯量'!H23,"0")&amp;"回/日"</f>
        <v>立上り回数 1回/日</v>
      </c>
      <c r="L63" s="631"/>
      <c r="N63" s="252">
        <f>+'6.給水量または給湯量'!H23</f>
        <v>1</v>
      </c>
    </row>
    <row r="64" spans="1:14" ht="13.5" customHeight="1">
      <c r="A64" s="483" t="s">
        <v>120</v>
      </c>
      <c r="B64" s="1"/>
      <c r="C64" s="2"/>
      <c r="D64" s="2"/>
      <c r="E64" s="2"/>
      <c r="F64" s="2"/>
      <c r="G64" s="2"/>
      <c r="H64" s="2"/>
      <c r="I64" s="2"/>
      <c r="J64" s="2"/>
      <c r="K64" s="2"/>
      <c r="L64" s="3"/>
    </row>
    <row r="65" spans="1:12" ht="13.5" customHeight="1">
      <c r="A65" s="484"/>
      <c r="B65" s="4"/>
      <c r="C65" s="5"/>
      <c r="D65" s="5"/>
      <c r="E65" s="5"/>
      <c r="F65" s="5"/>
      <c r="G65" s="5"/>
      <c r="H65" s="5"/>
      <c r="I65" s="5"/>
      <c r="J65" s="5"/>
      <c r="K65" s="5"/>
      <c r="L65" s="6"/>
    </row>
    <row r="66" spans="1:12" ht="13.5" customHeight="1">
      <c r="A66" s="484"/>
      <c r="B66" s="4"/>
      <c r="C66" s="5"/>
      <c r="D66" s="5"/>
      <c r="E66" s="5"/>
      <c r="F66" s="5"/>
      <c r="G66" s="5"/>
      <c r="H66" s="5"/>
      <c r="I66" s="5"/>
      <c r="J66" s="5"/>
      <c r="K66" s="5"/>
      <c r="L66" s="6"/>
    </row>
    <row r="67" spans="1:12">
      <c r="A67" s="484"/>
      <c r="B67" s="4"/>
      <c r="C67" s="5"/>
      <c r="D67" s="5"/>
      <c r="E67" s="5"/>
      <c r="F67" s="5"/>
      <c r="G67" s="5"/>
      <c r="H67" s="5"/>
      <c r="I67" s="5"/>
      <c r="J67" s="5"/>
      <c r="K67" s="5"/>
      <c r="L67" s="6"/>
    </row>
    <row r="68" spans="1:12">
      <c r="A68" s="484"/>
      <c r="B68" s="4"/>
      <c r="C68" s="5"/>
      <c r="D68" s="5"/>
      <c r="E68" s="5"/>
      <c r="F68" s="5"/>
      <c r="G68" s="5"/>
      <c r="H68" s="5"/>
      <c r="I68" s="5"/>
      <c r="J68" s="5"/>
      <c r="K68" s="5"/>
      <c r="L68" s="6"/>
    </row>
    <row r="69" spans="1:12">
      <c r="A69" s="484"/>
      <c r="B69" s="4"/>
      <c r="C69" s="5"/>
      <c r="D69" s="5"/>
      <c r="E69" s="5"/>
      <c r="F69" s="5"/>
      <c r="G69" s="5"/>
      <c r="H69" s="5"/>
      <c r="I69" s="5"/>
      <c r="J69" s="5"/>
      <c r="K69" s="5"/>
      <c r="L69" s="6"/>
    </row>
    <row r="70" spans="1:12">
      <c r="A70" s="484"/>
      <c r="B70" s="4"/>
      <c r="C70" s="5"/>
      <c r="D70" s="5"/>
      <c r="E70" s="5"/>
      <c r="F70" s="5"/>
      <c r="G70" s="5"/>
      <c r="H70" s="5"/>
      <c r="I70" s="5"/>
      <c r="J70" s="5"/>
      <c r="K70" s="5"/>
      <c r="L70" s="6"/>
    </row>
    <row r="71" spans="1:12">
      <c r="A71" s="484"/>
      <c r="B71" s="4"/>
      <c r="C71" s="5"/>
      <c r="D71" s="5"/>
      <c r="E71" s="5"/>
      <c r="F71" s="5"/>
      <c r="G71" s="5"/>
      <c r="H71" s="5"/>
      <c r="I71" s="5"/>
      <c r="J71" s="5"/>
      <c r="K71" s="5"/>
      <c r="L71" s="6"/>
    </row>
    <row r="72" spans="1:12">
      <c r="A72" s="484"/>
      <c r="B72" s="4"/>
      <c r="C72" s="5"/>
      <c r="D72" s="5"/>
      <c r="E72" s="5"/>
      <c r="F72" s="5"/>
      <c r="G72" s="5"/>
      <c r="H72" s="5"/>
      <c r="I72" s="5"/>
      <c r="J72" s="5"/>
      <c r="K72" s="5"/>
      <c r="L72" s="6"/>
    </row>
    <row r="73" spans="1:12" ht="15" customHeight="1" thickBot="1">
      <c r="A73" s="485"/>
      <c r="B73" s="7"/>
      <c r="C73" s="8"/>
      <c r="D73" s="8"/>
      <c r="E73" s="8"/>
      <c r="F73" s="8"/>
      <c r="G73" s="8"/>
      <c r="H73" s="8"/>
      <c r="I73" s="8"/>
      <c r="J73" s="8"/>
      <c r="K73" s="8"/>
      <c r="L73" s="9"/>
    </row>
    <row r="74" spans="1:12" ht="6.75" customHeight="1"/>
  </sheetData>
  <sheetProtection password="CC9A" sheet="1" objects="1" scenarios="1" formatCells="0" formatRows="0" insertRows="0" deleteRows="0"/>
  <mergeCells count="155">
    <mergeCell ref="K13:L13"/>
    <mergeCell ref="G11:H11"/>
    <mergeCell ref="I11:L11"/>
    <mergeCell ref="G29:G30"/>
    <mergeCell ref="H40:H41"/>
    <mergeCell ref="K25:L25"/>
    <mergeCell ref="K40:L41"/>
    <mergeCell ref="I42:J43"/>
    <mergeCell ref="K42:L43"/>
    <mergeCell ref="G12:H13"/>
    <mergeCell ref="G31:G32"/>
    <mergeCell ref="F23:G25"/>
    <mergeCell ref="I31:J32"/>
    <mergeCell ref="G21:G22"/>
    <mergeCell ref="K19:L19"/>
    <mergeCell ref="K14:L14"/>
    <mergeCell ref="H26:H27"/>
    <mergeCell ref="H23:H25"/>
    <mergeCell ref="I21:J22"/>
    <mergeCell ref="K21:L21"/>
    <mergeCell ref="H21:H22"/>
    <mergeCell ref="I14:J14"/>
    <mergeCell ref="A17:L17"/>
    <mergeCell ref="C15:D15"/>
    <mergeCell ref="C13:D13"/>
    <mergeCell ref="E13:F13"/>
    <mergeCell ref="I13:J13"/>
    <mergeCell ref="H29:H30"/>
    <mergeCell ref="B34:B57"/>
    <mergeCell ref="F34:F35"/>
    <mergeCell ref="F36:F37"/>
    <mergeCell ref="C58:F58"/>
    <mergeCell ref="G54:G57"/>
    <mergeCell ref="G36:G37"/>
    <mergeCell ref="B58:B63"/>
    <mergeCell ref="F48:F49"/>
    <mergeCell ref="B28:F28"/>
    <mergeCell ref="I34:J35"/>
    <mergeCell ref="C19:D20"/>
    <mergeCell ref="G50:G53"/>
    <mergeCell ref="I48:J49"/>
    <mergeCell ref="C21:D22"/>
    <mergeCell ref="C14:D14"/>
    <mergeCell ref="C60:F60"/>
    <mergeCell ref="G16:L16"/>
    <mergeCell ref="I23:J25"/>
    <mergeCell ref="I26:J27"/>
    <mergeCell ref="K23:L23"/>
    <mergeCell ref="K63:L63"/>
    <mergeCell ref="H61:H63"/>
    <mergeCell ref="I61:J63"/>
    <mergeCell ref="G61:G63"/>
    <mergeCell ref="K48:L49"/>
    <mergeCell ref="K34:L35"/>
    <mergeCell ref="I44:J45"/>
    <mergeCell ref="B29:F30"/>
    <mergeCell ref="K51:L51"/>
    <mergeCell ref="K46:L47"/>
    <mergeCell ref="K50:L50"/>
    <mergeCell ref="K44:L45"/>
    <mergeCell ref="K55:L55"/>
    <mergeCell ref="I40:J41"/>
    <mergeCell ref="I54:J57"/>
    <mergeCell ref="K56:L56"/>
    <mergeCell ref="K29:L30"/>
    <mergeCell ref="H36:H37"/>
    <mergeCell ref="H44:H45"/>
    <mergeCell ref="G40:G41"/>
    <mergeCell ref="G46:G47"/>
    <mergeCell ref="K54:L54"/>
    <mergeCell ref="H54:H57"/>
    <mergeCell ref="F54:F57"/>
    <mergeCell ref="E23:E27"/>
    <mergeCell ref="C38:E41"/>
    <mergeCell ref="C42:E45"/>
    <mergeCell ref="C46:E49"/>
    <mergeCell ref="C50:E57"/>
    <mergeCell ref="B31:F32"/>
    <mergeCell ref="F42:F43"/>
    <mergeCell ref="C34:E37"/>
    <mergeCell ref="F44:F45"/>
    <mergeCell ref="F40:F41"/>
    <mergeCell ref="F38:F39"/>
    <mergeCell ref="H50:H53"/>
    <mergeCell ref="I50:J53"/>
    <mergeCell ref="K1:L1"/>
    <mergeCell ref="G7:G8"/>
    <mergeCell ref="A2:L2"/>
    <mergeCell ref="C10:D10"/>
    <mergeCell ref="A3:A4"/>
    <mergeCell ref="E15:F15"/>
    <mergeCell ref="G14:H14"/>
    <mergeCell ref="B5:F5"/>
    <mergeCell ref="I1:J1"/>
    <mergeCell ref="B9:L9"/>
    <mergeCell ref="B12:B13"/>
    <mergeCell ref="C11:F11"/>
    <mergeCell ref="K3:L3"/>
    <mergeCell ref="K4:L4"/>
    <mergeCell ref="B3:H4"/>
    <mergeCell ref="B6:F6"/>
    <mergeCell ref="G5:G6"/>
    <mergeCell ref="H5:L6"/>
    <mergeCell ref="E8:F8"/>
    <mergeCell ref="A10:A16"/>
    <mergeCell ref="F50:F53"/>
    <mergeCell ref="B7:F7"/>
    <mergeCell ref="I3:J3"/>
    <mergeCell ref="I4:J4"/>
    <mergeCell ref="I10:J10"/>
    <mergeCell ref="F26:G27"/>
    <mergeCell ref="K61:L61"/>
    <mergeCell ref="G15:J15"/>
    <mergeCell ref="I36:J37"/>
    <mergeCell ref="C61:F63"/>
    <mergeCell ref="K26:L26"/>
    <mergeCell ref="H46:H47"/>
    <mergeCell ref="I46:J47"/>
    <mergeCell ref="K59:L59"/>
    <mergeCell ref="H31:H32"/>
    <mergeCell ref="B16:F16"/>
    <mergeCell ref="K58:L58"/>
    <mergeCell ref="K57:L57"/>
    <mergeCell ref="F46:F47"/>
    <mergeCell ref="H19:H20"/>
    <mergeCell ref="I19:J20"/>
    <mergeCell ref="H34:H35"/>
    <mergeCell ref="C59:F59"/>
    <mergeCell ref="G48:G49"/>
    <mergeCell ref="I58:J58"/>
    <mergeCell ref="H7:L8"/>
    <mergeCell ref="B8:C8"/>
    <mergeCell ref="H48:H49"/>
    <mergeCell ref="G44:G45"/>
    <mergeCell ref="A18:A57"/>
    <mergeCell ref="A58:A63"/>
    <mergeCell ref="A64:A73"/>
    <mergeCell ref="K62:L62"/>
    <mergeCell ref="E14:F14"/>
    <mergeCell ref="K31:L32"/>
    <mergeCell ref="K36:L37"/>
    <mergeCell ref="I29:J30"/>
    <mergeCell ref="G34:G35"/>
    <mergeCell ref="G19:G20"/>
    <mergeCell ref="E19:F20"/>
    <mergeCell ref="E21:F22"/>
    <mergeCell ref="K52:L52"/>
    <mergeCell ref="K53:L53"/>
    <mergeCell ref="G38:G39"/>
    <mergeCell ref="H38:H39"/>
    <mergeCell ref="I38:J39"/>
    <mergeCell ref="K38:L39"/>
    <mergeCell ref="G42:G43"/>
    <mergeCell ref="H42:H43"/>
    <mergeCell ref="I59:J59"/>
  </mergeCells>
  <phoneticPr fontId="3"/>
  <conditionalFormatting sqref="K54:L54 K50:L50">
    <cfRule type="expression" dxfId="28" priority="8" stopIfTrue="1">
      <formula>$N$50&lt;&gt;100</formula>
    </cfRule>
  </conditionalFormatting>
  <conditionalFormatting sqref="K55:L55 K51:L51">
    <cfRule type="expression" dxfId="27" priority="7" stopIfTrue="1">
      <formula>$N$51&lt;&gt;1</formula>
    </cfRule>
  </conditionalFormatting>
  <conditionalFormatting sqref="K56:L56 K52:L52">
    <cfRule type="expression" dxfId="26" priority="6" stopIfTrue="1">
      <formula>$N$52&lt;&gt;10</formula>
    </cfRule>
  </conditionalFormatting>
  <conditionalFormatting sqref="K61:L61">
    <cfRule type="expression" dxfId="25" priority="4" stopIfTrue="1">
      <formula>$N$61&lt;&gt;100</formula>
    </cfRule>
  </conditionalFormatting>
  <conditionalFormatting sqref="K62:L62">
    <cfRule type="expression" dxfId="24" priority="3" stopIfTrue="1">
      <formula>$N$62&lt;&gt;1</formula>
    </cfRule>
  </conditionalFormatting>
  <conditionalFormatting sqref="K63:L63">
    <cfRule type="expression" dxfId="23" priority="2" stopIfTrue="1">
      <formula>$N$63&lt;&gt;1</formula>
    </cfRule>
  </conditionalFormatting>
  <conditionalFormatting sqref="K57:L57 K53:L53">
    <cfRule type="expression" dxfId="22" priority="1" stopIfTrue="1">
      <formula>$N$53&lt;&gt;1</formula>
    </cfRule>
  </conditionalFormatting>
  <dataValidations count="4">
    <dataValidation type="list" allowBlank="1" showInputMessage="1" showErrorMessage="1" sqref="B3:H4">
      <formula1>"アンダーカウンター洗浄機、ドアタイプ洗浄機（選択してください）,アンダーカウンター洗浄機,ドアタイプ洗浄機"</formula1>
    </dataValidation>
    <dataValidation type="list" allowBlank="1" showInputMessage="1" showErrorMessage="1" sqref="G16:L16">
      <formula1>$N$16:$Q$16</formula1>
    </dataValidation>
    <dataValidation type="list" allowBlank="1" showInputMessage="1" showErrorMessage="1" sqref="E13:F13 K13:L13">
      <formula1>"(選択してください),ガス,電気"</formula1>
    </dataValidation>
    <dataValidation type="list" allowBlank="1" showInputMessage="1" showErrorMessage="1" sqref="I11:L11">
      <formula1>"(選択して下さい),13A,LPG"</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57"/>
  <sheetViews>
    <sheetView view="pageBreakPreview" zoomScaleNormal="100" zoomScaleSheetLayoutView="100" workbookViewId="0">
      <selection activeCell="B5" sqref="B5:E5"/>
    </sheetView>
  </sheetViews>
  <sheetFormatPr defaultColWidth="9" defaultRowHeight="13.5"/>
  <cols>
    <col min="1" max="1" width="6.875" style="12" customWidth="1"/>
    <col min="2" max="2" width="6.125" style="12" customWidth="1"/>
    <col min="3" max="3" width="12.375" style="12" customWidth="1"/>
    <col min="4" max="4" width="8.875" style="12" customWidth="1"/>
    <col min="5" max="5" width="7.25" style="12" customWidth="1"/>
    <col min="6" max="6" width="12.375" style="12" customWidth="1"/>
    <col min="7" max="7" width="8.25" style="12" customWidth="1"/>
    <col min="8" max="8" width="9.125" style="12" customWidth="1"/>
    <col min="9" max="9" width="6.5" style="12" customWidth="1"/>
    <col min="10" max="10" width="7.125" style="12" customWidth="1"/>
    <col min="11" max="11" width="5.625" style="12" customWidth="1"/>
    <col min="12" max="16384" width="9" style="12"/>
  </cols>
  <sheetData>
    <row r="1" spans="1:11" ht="15" customHeight="1" thickBot="1">
      <c r="A1" s="107"/>
      <c r="B1" s="107"/>
      <c r="C1" s="107"/>
      <c r="D1" s="107"/>
      <c r="E1" s="107"/>
      <c r="F1" s="107"/>
      <c r="G1" s="107"/>
      <c r="H1" s="107"/>
      <c r="I1" s="107"/>
      <c r="J1" s="107"/>
      <c r="K1" s="107"/>
    </row>
    <row r="2" spans="1:11" ht="18.75" customHeight="1" thickBot="1">
      <c r="A2" s="732" t="s">
        <v>167</v>
      </c>
      <c r="B2" s="733"/>
      <c r="C2" s="733"/>
      <c r="D2" s="733"/>
      <c r="E2" s="733"/>
      <c r="F2" s="733"/>
      <c r="G2" s="733"/>
      <c r="H2" s="733"/>
      <c r="I2" s="733"/>
      <c r="J2" s="733"/>
      <c r="K2" s="734"/>
    </row>
    <row r="3" spans="1:11" ht="28.5" customHeight="1" thickTop="1">
      <c r="A3" s="14" t="s">
        <v>179</v>
      </c>
      <c r="B3" s="711" t="str">
        <f>表紙!B3&amp;"　　（１．定格エネルギー消費量）"</f>
        <v>アンダーカウンター洗浄機、ドアタイプ洗浄機（選択してください）　　（１．定格エネルギー消費量）</v>
      </c>
      <c r="C3" s="712"/>
      <c r="D3" s="712"/>
      <c r="E3" s="712"/>
      <c r="F3" s="712"/>
      <c r="G3" s="712"/>
      <c r="H3" s="712"/>
      <c r="I3" s="745"/>
      <c r="J3" s="713" t="str">
        <f>"ガス種："&amp;表紙!$I$11</f>
        <v>ガス種：(選択して下さい)</v>
      </c>
      <c r="K3" s="714"/>
    </row>
    <row r="4" spans="1:11" ht="18" customHeight="1" thickBot="1">
      <c r="A4" s="15" t="s">
        <v>378</v>
      </c>
      <c r="B4" s="720" t="str">
        <f>IF(表紙!$B$6=0,"",表紙!$B$6)</f>
        <v/>
      </c>
      <c r="C4" s="720"/>
      <c r="D4" s="721"/>
      <c r="E4" s="721"/>
      <c r="F4" s="722"/>
      <c r="G4" s="374" t="s">
        <v>3</v>
      </c>
      <c r="H4" s="725" t="str">
        <f>IF(表紙!$H$5=0,"",表紙!$H$5)</f>
        <v/>
      </c>
      <c r="I4" s="726"/>
      <c r="J4" s="726"/>
      <c r="K4" s="727"/>
    </row>
    <row r="5" spans="1:11" ht="18" customHeight="1" thickBot="1">
      <c r="A5" s="281" t="s">
        <v>35</v>
      </c>
      <c r="B5" s="752"/>
      <c r="C5" s="753"/>
      <c r="D5" s="753"/>
      <c r="E5" s="754"/>
      <c r="F5" s="46" t="s">
        <v>492</v>
      </c>
      <c r="G5" s="282"/>
      <c r="H5" s="46" t="s">
        <v>36</v>
      </c>
      <c r="I5" s="282"/>
      <c r="J5" s="46" t="s">
        <v>37</v>
      </c>
      <c r="K5" s="52"/>
    </row>
    <row r="6" spans="1:11" ht="15" customHeight="1">
      <c r="A6" s="64"/>
      <c r="B6" s="65"/>
      <c r="C6" s="65"/>
      <c r="D6" s="65"/>
      <c r="E6" s="65"/>
      <c r="F6" s="65"/>
      <c r="G6" s="65"/>
      <c r="H6" s="65"/>
      <c r="I6" s="65"/>
      <c r="J6" s="65"/>
      <c r="K6" s="66"/>
    </row>
    <row r="7" spans="1:11" ht="15" customHeight="1">
      <c r="A7" s="67"/>
      <c r="B7" s="68" t="s">
        <v>135</v>
      </c>
      <c r="C7" s="65"/>
      <c r="D7" s="65"/>
      <c r="E7" s="65"/>
      <c r="F7" s="65"/>
      <c r="G7" s="65"/>
      <c r="H7" s="65"/>
      <c r="I7" s="65"/>
      <c r="J7" s="65"/>
      <c r="K7" s="69"/>
    </row>
    <row r="8" spans="1:11" ht="15" customHeight="1">
      <c r="A8" s="64"/>
      <c r="B8" s="65"/>
      <c r="C8" s="717" t="s">
        <v>475</v>
      </c>
      <c r="D8" s="717"/>
      <c r="E8" s="717"/>
      <c r="F8" s="717"/>
      <c r="G8" s="717"/>
      <c r="H8" s="717"/>
      <c r="I8" s="717"/>
      <c r="J8" s="717"/>
      <c r="K8" s="66"/>
    </row>
    <row r="9" spans="1:11" ht="15" customHeight="1">
      <c r="A9" s="70"/>
      <c r="B9" s="71"/>
      <c r="C9" s="717"/>
      <c r="D9" s="717"/>
      <c r="E9" s="717"/>
      <c r="F9" s="717"/>
      <c r="G9" s="717"/>
      <c r="H9" s="717"/>
      <c r="I9" s="717"/>
      <c r="J9" s="717"/>
      <c r="K9" s="66"/>
    </row>
    <row r="10" spans="1:11" ht="15" customHeight="1">
      <c r="A10" s="70"/>
      <c r="B10" s="71"/>
      <c r="C10" s="717"/>
      <c r="D10" s="717"/>
      <c r="E10" s="717"/>
      <c r="F10" s="717"/>
      <c r="G10" s="717"/>
      <c r="H10" s="717"/>
      <c r="I10" s="717"/>
      <c r="J10" s="717"/>
      <c r="K10" s="66"/>
    </row>
    <row r="11" spans="1:11" ht="15" customHeight="1">
      <c r="A11" s="70"/>
      <c r="B11" s="71"/>
      <c r="C11" s="717"/>
      <c r="D11" s="717"/>
      <c r="E11" s="717"/>
      <c r="F11" s="717"/>
      <c r="G11" s="717"/>
      <c r="H11" s="717"/>
      <c r="I11" s="717"/>
      <c r="J11" s="717"/>
      <c r="K11" s="66"/>
    </row>
    <row r="12" spans="1:11" ht="36.75" customHeight="1">
      <c r="A12" s="70"/>
      <c r="B12" s="71"/>
      <c r="C12" s="717"/>
      <c r="D12" s="717"/>
      <c r="E12" s="717"/>
      <c r="F12" s="717"/>
      <c r="G12" s="717"/>
      <c r="H12" s="717"/>
      <c r="I12" s="717"/>
      <c r="J12" s="717"/>
      <c r="K12" s="66"/>
    </row>
    <row r="13" spans="1:11" ht="15" customHeight="1">
      <c r="A13" s="64"/>
      <c r="B13" s="381"/>
      <c r="C13" s="381"/>
      <c r="D13" s="381"/>
      <c r="E13" s="381"/>
      <c r="F13" s="381"/>
      <c r="G13" s="381"/>
      <c r="H13" s="381"/>
      <c r="I13" s="381"/>
      <c r="J13" s="381"/>
      <c r="K13" s="66"/>
    </row>
    <row r="14" spans="1:11" ht="15" customHeight="1">
      <c r="A14" s="64"/>
      <c r="B14" s="68" t="s">
        <v>359</v>
      </c>
      <c r="C14" s="65"/>
      <c r="D14" s="65"/>
      <c r="E14" s="65"/>
      <c r="F14" s="65"/>
      <c r="G14" s="65"/>
      <c r="H14" s="65"/>
      <c r="I14" s="65"/>
      <c r="J14" s="65"/>
      <c r="K14" s="66"/>
    </row>
    <row r="15" spans="1:11" ht="15" customHeight="1">
      <c r="A15" s="64"/>
      <c r="B15" s="65"/>
      <c r="C15" s="746" t="s">
        <v>360</v>
      </c>
      <c r="D15" s="746"/>
      <c r="E15" s="746"/>
      <c r="F15" s="746"/>
      <c r="G15" s="746"/>
      <c r="H15" s="746"/>
      <c r="I15" s="746"/>
      <c r="J15" s="746"/>
      <c r="K15" s="399"/>
    </row>
    <row r="16" spans="1:11" ht="15" customHeight="1">
      <c r="A16" s="64"/>
      <c r="B16" s="65"/>
      <c r="C16" s="746"/>
      <c r="D16" s="746"/>
      <c r="E16" s="746"/>
      <c r="F16" s="746"/>
      <c r="G16" s="746"/>
      <c r="H16" s="746"/>
      <c r="I16" s="746"/>
      <c r="J16" s="746"/>
      <c r="K16" s="399"/>
    </row>
    <row r="17" spans="1:11" ht="15" customHeight="1">
      <c r="A17" s="64"/>
      <c r="B17" s="65"/>
      <c r="C17" s="746"/>
      <c r="D17" s="746"/>
      <c r="E17" s="746"/>
      <c r="F17" s="746"/>
      <c r="G17" s="746"/>
      <c r="H17" s="746"/>
      <c r="I17" s="746"/>
      <c r="J17" s="746"/>
      <c r="K17" s="399"/>
    </row>
    <row r="18" spans="1:11" ht="15" customHeight="1">
      <c r="A18" s="64"/>
      <c r="B18" s="65"/>
      <c r="C18" s="746"/>
      <c r="D18" s="746"/>
      <c r="E18" s="746"/>
      <c r="F18" s="746"/>
      <c r="G18" s="746"/>
      <c r="H18" s="746"/>
      <c r="I18" s="746"/>
      <c r="J18" s="746"/>
      <c r="K18" s="399"/>
    </row>
    <row r="19" spans="1:11" ht="15" customHeight="1">
      <c r="A19" s="64"/>
      <c r="B19" s="65"/>
      <c r="C19" s="746"/>
      <c r="D19" s="746"/>
      <c r="E19" s="746"/>
      <c r="F19" s="746"/>
      <c r="G19" s="746"/>
      <c r="H19" s="746"/>
      <c r="I19" s="746"/>
      <c r="J19" s="746"/>
      <c r="K19" s="399"/>
    </row>
    <row r="20" spans="1:11" ht="4.5" customHeight="1">
      <c r="A20" s="64"/>
      <c r="B20" s="400"/>
      <c r="C20" s="400"/>
      <c r="D20" s="400"/>
      <c r="E20" s="400"/>
      <c r="F20" s="400"/>
      <c r="G20" s="400"/>
      <c r="H20" s="400"/>
      <c r="I20" s="400"/>
      <c r="J20" s="400"/>
      <c r="K20" s="66"/>
    </row>
    <row r="21" spans="1:11" ht="27.6" customHeight="1">
      <c r="A21" s="64"/>
      <c r="B21" s="401"/>
      <c r="C21" s="747" t="s">
        <v>508</v>
      </c>
      <c r="D21" s="748"/>
      <c r="E21" s="748"/>
      <c r="F21" s="748"/>
      <c r="G21" s="748"/>
      <c r="H21" s="749"/>
      <c r="I21" s="750" t="s">
        <v>517</v>
      </c>
      <c r="J21" s="751"/>
      <c r="K21" s="66"/>
    </row>
    <row r="22" spans="1:11" ht="6" customHeight="1">
      <c r="A22" s="64"/>
      <c r="B22" s="401"/>
      <c r="C22" s="402"/>
      <c r="D22" s="402"/>
      <c r="E22" s="402"/>
      <c r="F22" s="402"/>
      <c r="G22" s="402"/>
      <c r="H22" s="402"/>
      <c r="I22" s="403"/>
      <c r="J22" s="403"/>
      <c r="K22" s="66"/>
    </row>
    <row r="23" spans="1:11" ht="15" customHeight="1">
      <c r="A23" s="64"/>
      <c r="B23" s="404" t="s">
        <v>168</v>
      </c>
      <c r="C23" s="405" t="s">
        <v>169</v>
      </c>
      <c r="D23" s="406"/>
      <c r="E23" s="406"/>
      <c r="F23" s="406"/>
      <c r="G23" s="406"/>
      <c r="H23" s="406"/>
      <c r="I23" s="406"/>
      <c r="J23" s="406"/>
      <c r="K23" s="66"/>
    </row>
    <row r="24" spans="1:11" ht="15" customHeight="1">
      <c r="A24" s="64"/>
      <c r="B24" s="401"/>
      <c r="C24" s="406"/>
      <c r="D24" s="406"/>
      <c r="E24" s="406"/>
      <c r="F24" s="406"/>
      <c r="G24" s="406"/>
      <c r="H24" s="406"/>
      <c r="I24" s="406"/>
      <c r="J24" s="406"/>
      <c r="K24" s="66"/>
    </row>
    <row r="25" spans="1:11" ht="15" customHeight="1">
      <c r="A25" s="64"/>
      <c r="B25" s="401"/>
      <c r="C25" s="406"/>
      <c r="D25" s="406"/>
      <c r="E25" s="406"/>
      <c r="F25" s="406"/>
      <c r="G25" s="406"/>
      <c r="H25" s="406"/>
      <c r="I25" s="406"/>
      <c r="J25" s="406"/>
      <c r="K25" s="66"/>
    </row>
    <row r="26" spans="1:11" ht="15" customHeight="1">
      <c r="A26" s="64"/>
      <c r="B26" s="401"/>
      <c r="C26" s="406"/>
      <c r="D26" s="406"/>
      <c r="E26" s="406"/>
      <c r="F26" s="406"/>
      <c r="G26" s="406"/>
      <c r="H26" s="406"/>
      <c r="I26" s="406"/>
      <c r="J26" s="406"/>
      <c r="K26" s="66"/>
    </row>
    <row r="27" spans="1:11" ht="15" customHeight="1">
      <c r="A27" s="64"/>
      <c r="B27" s="401"/>
      <c r="C27" s="406"/>
      <c r="D27" s="406"/>
      <c r="E27" s="406"/>
      <c r="F27" s="406"/>
      <c r="G27" s="406"/>
      <c r="H27" s="406"/>
      <c r="I27" s="406"/>
      <c r="J27" s="406"/>
      <c r="K27" s="66"/>
    </row>
    <row r="28" spans="1:11" ht="9" customHeight="1">
      <c r="A28" s="64"/>
      <c r="B28" s="401"/>
      <c r="C28" s="72"/>
      <c r="D28" s="401"/>
      <c r="E28" s="401"/>
      <c r="F28" s="401"/>
      <c r="G28" s="401"/>
      <c r="H28" s="401"/>
      <c r="I28" s="401"/>
      <c r="J28" s="401"/>
      <c r="K28" s="66"/>
    </row>
    <row r="29" spans="1:11" ht="16.5" customHeight="1">
      <c r="A29" s="64"/>
      <c r="B29" s="407"/>
      <c r="C29" s="744" t="s">
        <v>352</v>
      </c>
      <c r="D29" s="743"/>
      <c r="E29" s="743"/>
      <c r="F29" s="401"/>
      <c r="G29" s="63" t="s">
        <v>345</v>
      </c>
      <c r="H29" s="295"/>
      <c r="I29" s="408" t="s">
        <v>136</v>
      </c>
      <c r="J29" s="723" t="s">
        <v>29</v>
      </c>
      <c r="K29" s="724"/>
    </row>
    <row r="30" spans="1:11" ht="16.5" customHeight="1">
      <c r="A30" s="64"/>
      <c r="B30" s="409"/>
      <c r="C30" s="742" t="s">
        <v>353</v>
      </c>
      <c r="D30" s="743"/>
      <c r="E30" s="743"/>
      <c r="F30" s="410"/>
      <c r="G30" s="63" t="s">
        <v>346</v>
      </c>
      <c r="H30" s="296"/>
      <c r="I30" s="408" t="s">
        <v>362</v>
      </c>
      <c r="J30" s="723" t="s">
        <v>25</v>
      </c>
      <c r="K30" s="724"/>
    </row>
    <row r="31" spans="1:11" ht="16.5" customHeight="1">
      <c r="A31" s="64"/>
      <c r="B31" s="409"/>
      <c r="C31" s="742" t="s">
        <v>354</v>
      </c>
      <c r="D31" s="743"/>
      <c r="E31" s="743"/>
      <c r="F31" s="743"/>
      <c r="G31" s="63" t="s">
        <v>347</v>
      </c>
      <c r="H31" s="297"/>
      <c r="I31" s="408" t="s">
        <v>363</v>
      </c>
      <c r="J31" s="723" t="s">
        <v>48</v>
      </c>
      <c r="K31" s="724"/>
    </row>
    <row r="32" spans="1:11" ht="16.5" customHeight="1">
      <c r="A32" s="64"/>
      <c r="B32" s="411"/>
      <c r="C32" s="742" t="s">
        <v>355</v>
      </c>
      <c r="D32" s="742"/>
      <c r="E32" s="742"/>
      <c r="F32" s="742"/>
      <c r="G32" s="63" t="s">
        <v>348</v>
      </c>
      <c r="H32" s="298"/>
      <c r="I32" s="408" t="s">
        <v>137</v>
      </c>
      <c r="J32" s="723" t="s">
        <v>24</v>
      </c>
      <c r="K32" s="724"/>
    </row>
    <row r="33" spans="1:11" ht="16.5" customHeight="1">
      <c r="A33" s="64"/>
      <c r="B33" s="411"/>
      <c r="C33" s="742" t="s">
        <v>356</v>
      </c>
      <c r="D33" s="742"/>
      <c r="E33" s="742"/>
      <c r="F33" s="742"/>
      <c r="G33" s="63" t="s">
        <v>349</v>
      </c>
      <c r="H33" s="299"/>
      <c r="I33" s="408" t="s">
        <v>138</v>
      </c>
      <c r="J33" s="723" t="s">
        <v>29</v>
      </c>
      <c r="K33" s="724"/>
    </row>
    <row r="34" spans="1:11" ht="16.5" customHeight="1">
      <c r="A34" s="64"/>
      <c r="B34" s="413"/>
      <c r="C34" s="741" t="s">
        <v>357</v>
      </c>
      <c r="D34" s="741"/>
      <c r="E34" s="741"/>
      <c r="F34" s="741"/>
      <c r="G34" s="63" t="s">
        <v>350</v>
      </c>
      <c r="H34" s="299"/>
      <c r="I34" s="408" t="s">
        <v>138</v>
      </c>
      <c r="J34" s="723" t="s">
        <v>29</v>
      </c>
      <c r="K34" s="724"/>
    </row>
    <row r="35" spans="1:11" ht="16.5" customHeight="1">
      <c r="A35" s="64"/>
      <c r="B35" s="413"/>
      <c r="C35" s="741" t="s">
        <v>437</v>
      </c>
      <c r="D35" s="741"/>
      <c r="E35" s="741"/>
      <c r="F35" s="741"/>
      <c r="G35" s="63" t="s">
        <v>351</v>
      </c>
      <c r="H35" s="412" t="str">
        <f>IF(COUNTBLANK(H29:H34)=0,IF(H37="乾　式","0.00",10^(7.203-1735.74/(H32+234))),"")</f>
        <v/>
      </c>
      <c r="I35" s="408" t="s">
        <v>138</v>
      </c>
      <c r="J35" s="723" t="s">
        <v>29</v>
      </c>
      <c r="K35" s="724"/>
    </row>
    <row r="36" spans="1:11" ht="4.5" customHeight="1">
      <c r="A36" s="64"/>
      <c r="B36" s="413"/>
      <c r="C36" s="414"/>
      <c r="D36" s="414"/>
      <c r="E36" s="414"/>
      <c r="F36" s="414"/>
      <c r="G36" s="415"/>
      <c r="H36" s="416"/>
      <c r="I36" s="417"/>
      <c r="J36" s="377"/>
      <c r="K36" s="378"/>
    </row>
    <row r="37" spans="1:11" ht="18" customHeight="1">
      <c r="A37" s="64"/>
      <c r="B37" s="401"/>
      <c r="C37" s="389" t="s">
        <v>472</v>
      </c>
      <c r="D37" s="401"/>
      <c r="E37" s="381"/>
      <c r="F37" s="381"/>
      <c r="G37" s="381"/>
      <c r="H37" s="462" t="s">
        <v>516</v>
      </c>
      <c r="I37" s="72"/>
      <c r="J37" s="72"/>
      <c r="K37" s="66"/>
    </row>
    <row r="38" spans="1:11" ht="16.5" customHeight="1">
      <c r="A38" s="64"/>
      <c r="B38" s="141"/>
      <c r="C38" s="381" t="s">
        <v>343</v>
      </c>
      <c r="D38" s="381"/>
      <c r="E38" s="418"/>
      <c r="F38" s="418"/>
      <c r="G38" s="418"/>
      <c r="H38" s="418"/>
      <c r="I38" s="401"/>
      <c r="J38" s="401"/>
      <c r="K38" s="73"/>
    </row>
    <row r="39" spans="1:11" ht="16.5" customHeight="1">
      <c r="A39" s="64"/>
      <c r="B39" s="141"/>
      <c r="C39" s="381" t="s">
        <v>344</v>
      </c>
      <c r="D39" s="381"/>
      <c r="E39" s="418"/>
      <c r="F39" s="418"/>
      <c r="G39" s="418"/>
      <c r="H39" s="418"/>
      <c r="I39" s="418"/>
      <c r="J39" s="418"/>
      <c r="K39" s="66"/>
    </row>
    <row r="40" spans="1:11" ht="39" customHeight="1">
      <c r="A40" s="64"/>
      <c r="B40" s="729"/>
      <c r="C40" s="730"/>
      <c r="D40" s="730"/>
      <c r="E40" s="730"/>
      <c r="F40" s="730"/>
      <c r="G40" s="730"/>
      <c r="H40" s="74"/>
      <c r="I40" s="65"/>
      <c r="J40" s="65"/>
      <c r="K40" s="101"/>
    </row>
    <row r="41" spans="1:11" ht="27" customHeight="1">
      <c r="A41" s="64"/>
      <c r="B41" s="72"/>
      <c r="C41" s="708" t="s">
        <v>197</v>
      </c>
      <c r="D41" s="708"/>
      <c r="E41" s="708"/>
      <c r="F41" s="708"/>
      <c r="G41" s="75" t="s">
        <v>198</v>
      </c>
      <c r="H41" s="300" t="str">
        <f>IF(COUNTBLANK(H29:H34)=0,(H30*H31*(H33+H34-H35)*273/3600/101.3/(273+H32)/(H29/3600)),"")</f>
        <v/>
      </c>
      <c r="I41" s="387" t="s">
        <v>115</v>
      </c>
      <c r="J41" s="723" t="s">
        <v>25</v>
      </c>
      <c r="K41" s="724"/>
    </row>
    <row r="42" spans="1:11" ht="15" customHeight="1">
      <c r="A42" s="64"/>
      <c r="B42" s="76"/>
      <c r="C42" s="65"/>
      <c r="D42" s="65"/>
      <c r="E42" s="65"/>
      <c r="F42" s="65"/>
      <c r="G42" s="77"/>
      <c r="H42" s="78"/>
      <c r="I42" s="385"/>
      <c r="J42" s="385"/>
      <c r="K42" s="79"/>
    </row>
    <row r="43" spans="1:11" ht="15" customHeight="1">
      <c r="A43" s="64"/>
      <c r="B43" s="419" t="s">
        <v>168</v>
      </c>
      <c r="C43" s="715" t="s">
        <v>170</v>
      </c>
      <c r="D43" s="716"/>
      <c r="E43" s="716"/>
      <c r="F43" s="716"/>
      <c r="G43" s="716"/>
      <c r="H43" s="716"/>
      <c r="I43" s="716"/>
      <c r="J43" s="716"/>
      <c r="K43" s="66"/>
    </row>
    <row r="44" spans="1:11" ht="15" customHeight="1">
      <c r="A44" s="64"/>
      <c r="B44" s="401"/>
      <c r="C44" s="716"/>
      <c r="D44" s="716"/>
      <c r="E44" s="716"/>
      <c r="F44" s="716"/>
      <c r="G44" s="716"/>
      <c r="H44" s="716"/>
      <c r="I44" s="716"/>
      <c r="J44" s="716"/>
      <c r="K44" s="66"/>
    </row>
    <row r="45" spans="1:11" ht="15" customHeight="1">
      <c r="A45" s="64"/>
      <c r="B45" s="401"/>
      <c r="C45" s="716"/>
      <c r="D45" s="716"/>
      <c r="E45" s="716"/>
      <c r="F45" s="716"/>
      <c r="G45" s="716"/>
      <c r="H45" s="716"/>
      <c r="I45" s="716"/>
      <c r="J45" s="716"/>
      <c r="K45" s="66"/>
    </row>
    <row r="46" spans="1:11" ht="15" customHeight="1">
      <c r="A46" s="64"/>
      <c r="B46" s="401"/>
      <c r="C46" s="716"/>
      <c r="D46" s="716"/>
      <c r="E46" s="716"/>
      <c r="F46" s="716"/>
      <c r="G46" s="716"/>
      <c r="H46" s="716"/>
      <c r="I46" s="716"/>
      <c r="J46" s="716"/>
      <c r="K46" s="66"/>
    </row>
    <row r="47" spans="1:11" ht="15" customHeight="1">
      <c r="A47" s="64"/>
      <c r="B47" s="401"/>
      <c r="C47" s="716"/>
      <c r="D47" s="716"/>
      <c r="E47" s="716"/>
      <c r="F47" s="716"/>
      <c r="G47" s="716"/>
      <c r="H47" s="716"/>
      <c r="I47" s="716"/>
      <c r="J47" s="716"/>
      <c r="K47" s="66"/>
    </row>
    <row r="48" spans="1:11" ht="15" customHeight="1">
      <c r="A48" s="64"/>
      <c r="B48" s="401"/>
      <c r="C48" s="716"/>
      <c r="D48" s="716"/>
      <c r="E48" s="716"/>
      <c r="F48" s="716"/>
      <c r="G48" s="716"/>
      <c r="H48" s="716"/>
      <c r="I48" s="716"/>
      <c r="J48" s="716"/>
      <c r="K48" s="66"/>
    </row>
    <row r="49" spans="1:11" ht="15" customHeight="1">
      <c r="A49" s="64"/>
      <c r="B49" s="401"/>
      <c r="C49" s="716"/>
      <c r="D49" s="716"/>
      <c r="E49" s="716"/>
      <c r="F49" s="716"/>
      <c r="G49" s="716"/>
      <c r="H49" s="716"/>
      <c r="I49" s="716"/>
      <c r="J49" s="716"/>
      <c r="K49" s="66"/>
    </row>
    <row r="50" spans="1:11" ht="15" customHeight="1">
      <c r="A50" s="64"/>
      <c r="B50" s="401"/>
      <c r="C50" s="716"/>
      <c r="D50" s="716"/>
      <c r="E50" s="716"/>
      <c r="F50" s="716"/>
      <c r="G50" s="716"/>
      <c r="H50" s="716"/>
      <c r="I50" s="716"/>
      <c r="J50" s="716"/>
      <c r="K50" s="66"/>
    </row>
    <row r="51" spans="1:11" ht="7.15" customHeight="1">
      <c r="A51" s="64"/>
      <c r="B51" s="401"/>
      <c r="C51" s="716"/>
      <c r="D51" s="716"/>
      <c r="E51" s="716"/>
      <c r="F51" s="716"/>
      <c r="G51" s="716"/>
      <c r="H51" s="716"/>
      <c r="I51" s="716"/>
      <c r="J51" s="716"/>
      <c r="K51" s="66"/>
    </row>
    <row r="52" spans="1:11" ht="7.15" customHeight="1">
      <c r="A52" s="64"/>
      <c r="B52" s="401"/>
      <c r="C52" s="420"/>
      <c r="D52" s="420"/>
      <c r="E52" s="420"/>
      <c r="F52" s="420"/>
      <c r="G52" s="420"/>
      <c r="H52" s="420"/>
      <c r="I52" s="420"/>
      <c r="J52" s="420"/>
      <c r="K52" s="66"/>
    </row>
    <row r="53" spans="1:11" ht="7.15" customHeight="1" thickBot="1">
      <c r="A53" s="110"/>
      <c r="B53" s="421"/>
      <c r="C53" s="422"/>
      <c r="D53" s="422"/>
      <c r="E53" s="422"/>
      <c r="F53" s="422"/>
      <c r="G53" s="422"/>
      <c r="H53" s="422"/>
      <c r="I53" s="422"/>
      <c r="J53" s="422"/>
      <c r="K53" s="102"/>
    </row>
    <row r="54" spans="1:11" s="29" customFormat="1" ht="13.15" customHeight="1" thickBot="1">
      <c r="A54" s="233"/>
      <c r="B54" s="423"/>
      <c r="C54" s="424"/>
      <c r="D54" s="731"/>
      <c r="E54" s="731"/>
      <c r="F54" s="731"/>
      <c r="G54" s="731"/>
      <c r="H54" s="731"/>
      <c r="I54" s="731"/>
      <c r="J54" s="731"/>
      <c r="K54" s="233"/>
    </row>
    <row r="55" spans="1:11" ht="18.75" customHeight="1" thickBot="1">
      <c r="A55" s="732" t="s">
        <v>167</v>
      </c>
      <c r="B55" s="733"/>
      <c r="C55" s="733"/>
      <c r="D55" s="733"/>
      <c r="E55" s="733"/>
      <c r="F55" s="733"/>
      <c r="G55" s="733"/>
      <c r="H55" s="733"/>
      <c r="I55" s="733"/>
      <c r="J55" s="733"/>
      <c r="K55" s="734"/>
    </row>
    <row r="56" spans="1:11" ht="28.5" customHeight="1" thickTop="1">
      <c r="A56" s="14" t="s">
        <v>179</v>
      </c>
      <c r="B56" s="711" t="str">
        <f>表紙!B3&amp;"　　（１．定格エネルギー消費量）"</f>
        <v>アンダーカウンター洗浄機、ドアタイプ洗浄機（選択してください）　　（１．定格エネルギー消費量）</v>
      </c>
      <c r="C56" s="712"/>
      <c r="D56" s="712"/>
      <c r="E56" s="712"/>
      <c r="F56" s="712"/>
      <c r="G56" s="712"/>
      <c r="H56" s="712"/>
      <c r="I56" s="712"/>
      <c r="J56" s="713" t="str">
        <f>"ガス種："&amp;表紙!$I$11</f>
        <v>ガス種：(選択して下さい)</v>
      </c>
      <c r="K56" s="714"/>
    </row>
    <row r="57" spans="1:11" ht="18" customHeight="1" thickBot="1">
      <c r="A57" s="15" t="s">
        <v>378</v>
      </c>
      <c r="B57" s="720" t="str">
        <f>IF(表紙!$B$6=0,"",表紙!$B$6)</f>
        <v/>
      </c>
      <c r="C57" s="720"/>
      <c r="D57" s="721"/>
      <c r="E57" s="721"/>
      <c r="F57" s="722"/>
      <c r="G57" s="374" t="s">
        <v>3</v>
      </c>
      <c r="H57" s="725" t="str">
        <f>IF(表紙!$H$5=0,"",表紙!$H$5)</f>
        <v/>
      </c>
      <c r="I57" s="726"/>
      <c r="J57" s="726"/>
      <c r="K57" s="727"/>
    </row>
    <row r="58" spans="1:11" ht="15" customHeight="1">
      <c r="A58" s="80"/>
      <c r="B58" s="74"/>
      <c r="C58" s="425"/>
      <c r="D58" s="425"/>
      <c r="E58" s="425"/>
      <c r="F58" s="272"/>
      <c r="G58" s="115"/>
      <c r="H58" s="74"/>
      <c r="I58" s="115"/>
      <c r="J58" s="272"/>
      <c r="K58" s="116"/>
    </row>
    <row r="59" spans="1:11" ht="23.25" customHeight="1">
      <c r="A59" s="64"/>
      <c r="B59" s="72"/>
      <c r="C59" s="708" t="s">
        <v>197</v>
      </c>
      <c r="D59" s="708"/>
      <c r="E59" s="708"/>
      <c r="F59" s="708"/>
      <c r="G59" s="75" t="s">
        <v>198</v>
      </c>
      <c r="H59" s="463"/>
      <c r="I59" s="387" t="s">
        <v>162</v>
      </c>
      <c r="J59" s="723" t="s">
        <v>25</v>
      </c>
      <c r="K59" s="724"/>
    </row>
    <row r="60" spans="1:11" ht="15" customHeight="1">
      <c r="A60" s="64"/>
      <c r="B60" s="76"/>
      <c r="C60" s="65"/>
      <c r="D60" s="65"/>
      <c r="E60" s="65"/>
      <c r="F60" s="65"/>
      <c r="G60" s="77"/>
      <c r="H60" s="78"/>
      <c r="I60" s="385"/>
      <c r="J60" s="385"/>
      <c r="K60" s="79"/>
    </row>
    <row r="61" spans="1:11" ht="15" customHeight="1">
      <c r="A61" s="64"/>
      <c r="B61" s="68" t="s">
        <v>364</v>
      </c>
      <c r="C61" s="65"/>
      <c r="D61" s="65"/>
      <c r="E61" s="65"/>
      <c r="F61" s="65"/>
      <c r="G61" s="77"/>
      <c r="H61" s="78"/>
      <c r="I61" s="385"/>
      <c r="J61" s="385"/>
      <c r="K61" s="79"/>
    </row>
    <row r="62" spans="1:11" ht="22.5" customHeight="1">
      <c r="A62" s="64"/>
      <c r="B62" s="72"/>
      <c r="C62" s="81" t="s">
        <v>199</v>
      </c>
      <c r="D62" s="65"/>
      <c r="E62" s="65"/>
      <c r="F62" s="381"/>
      <c r="G62" s="82" t="s">
        <v>510</v>
      </c>
      <c r="H62" s="464"/>
      <c r="I62" s="387" t="s">
        <v>115</v>
      </c>
      <c r="J62" s="723" t="s">
        <v>25</v>
      </c>
      <c r="K62" s="724"/>
    </row>
    <row r="63" spans="1:11" ht="8.25" customHeight="1">
      <c r="A63" s="64"/>
      <c r="B63" s="72"/>
      <c r="C63" s="65"/>
      <c r="D63" s="65"/>
      <c r="E63" s="65"/>
      <c r="F63" s="381"/>
      <c r="G63" s="83"/>
      <c r="H63" s="88"/>
      <c r="I63" s="387"/>
      <c r="J63" s="377"/>
      <c r="K63" s="378"/>
    </row>
    <row r="64" spans="1:11" ht="22.5" customHeight="1">
      <c r="A64" s="64"/>
      <c r="B64" s="68" t="s">
        <v>200</v>
      </c>
      <c r="C64" s="65"/>
      <c r="D64" s="65"/>
      <c r="E64" s="65"/>
      <c r="F64" s="381"/>
      <c r="G64" s="83"/>
      <c r="H64" s="88"/>
      <c r="I64" s="387"/>
      <c r="J64" s="377"/>
      <c r="K64" s="378"/>
    </row>
    <row r="65" spans="1:11" ht="42" customHeight="1">
      <c r="A65" s="64"/>
      <c r="B65" s="65"/>
      <c r="C65" s="65"/>
      <c r="D65" s="65"/>
      <c r="E65" s="65"/>
      <c r="F65" s="381"/>
      <c r="G65" s="83"/>
      <c r="H65" s="88"/>
      <c r="I65" s="387"/>
      <c r="J65" s="377"/>
      <c r="K65" s="378"/>
    </row>
    <row r="66" spans="1:11" ht="16.5" customHeight="1" thickBot="1">
      <c r="A66" s="86"/>
      <c r="B66" s="72"/>
      <c r="C66" s="381" t="s">
        <v>509</v>
      </c>
      <c r="D66" s="381"/>
      <c r="E66" s="381"/>
      <c r="F66" s="381"/>
      <c r="G66" s="72"/>
      <c r="H66" s="72"/>
      <c r="I66" s="72"/>
      <c r="J66" s="389"/>
      <c r="K66" s="79"/>
    </row>
    <row r="67" spans="1:11" ht="19.5" customHeight="1" thickBot="1">
      <c r="A67" s="86"/>
      <c r="B67" s="72"/>
      <c r="C67" s="381"/>
      <c r="D67" s="381"/>
      <c r="E67" s="381"/>
      <c r="F67" s="381"/>
      <c r="G67" s="82" t="s">
        <v>365</v>
      </c>
      <c r="H67" s="301" t="str">
        <f>IF(I21="①",(H41/H62)*100-100,IF(I21="②",(H59/H62)*100-100,""))</f>
        <v/>
      </c>
      <c r="I67" s="389" t="s">
        <v>116</v>
      </c>
      <c r="J67" s="389"/>
      <c r="K67" s="84"/>
    </row>
    <row r="68" spans="1:11" ht="15" customHeight="1">
      <c r="A68" s="86"/>
      <c r="B68" s="366"/>
      <c r="C68" s="728" t="s">
        <v>456</v>
      </c>
      <c r="D68" s="728"/>
      <c r="E68" s="719">
        <v>10</v>
      </c>
      <c r="F68" s="719"/>
      <c r="G68" s="87">
        <v>-10</v>
      </c>
      <c r="H68" s="89"/>
      <c r="I68" s="85"/>
      <c r="J68" s="74"/>
      <c r="K68" s="66"/>
    </row>
    <row r="69" spans="1:11" ht="15" customHeight="1">
      <c r="A69" s="86"/>
      <c r="B69" s="383"/>
      <c r="C69" s="383"/>
      <c r="D69" s="382"/>
      <c r="E69" s="382"/>
      <c r="F69" s="87"/>
      <c r="G69" s="74"/>
      <c r="H69" s="89"/>
      <c r="I69" s="85"/>
      <c r="J69" s="74"/>
      <c r="K69" s="66"/>
    </row>
    <row r="70" spans="1:11" s="13" customFormat="1" ht="15" customHeight="1">
      <c r="A70" s="64"/>
      <c r="B70" s="68" t="s">
        <v>23</v>
      </c>
      <c r="C70" s="65"/>
      <c r="D70" s="65"/>
      <c r="E70" s="65"/>
      <c r="F70" s="65"/>
      <c r="G70" s="65"/>
      <c r="H70" s="65"/>
      <c r="I70" s="65"/>
      <c r="J70" s="65"/>
      <c r="K70" s="66"/>
    </row>
    <row r="71" spans="1:11" s="13" customFormat="1" ht="15" customHeight="1">
      <c r="A71" s="64"/>
      <c r="B71" s="65"/>
      <c r="C71" s="717" t="s">
        <v>366</v>
      </c>
      <c r="D71" s="717"/>
      <c r="E71" s="717"/>
      <c r="F71" s="717"/>
      <c r="G71" s="717"/>
      <c r="H71" s="717"/>
      <c r="I71" s="717"/>
      <c r="J71" s="717"/>
      <c r="K71" s="66"/>
    </row>
    <row r="72" spans="1:11" s="13" customFormat="1" ht="15" customHeight="1">
      <c r="A72" s="70"/>
      <c r="B72" s="65"/>
      <c r="C72" s="717"/>
      <c r="D72" s="717"/>
      <c r="E72" s="717"/>
      <c r="F72" s="717"/>
      <c r="G72" s="717"/>
      <c r="H72" s="717"/>
      <c r="I72" s="717"/>
      <c r="J72" s="717"/>
      <c r="K72" s="66"/>
    </row>
    <row r="73" spans="1:11" s="13" customFormat="1" ht="7.5" customHeight="1">
      <c r="A73" s="64"/>
      <c r="B73" s="65"/>
      <c r="C73" s="717"/>
      <c r="D73" s="717"/>
      <c r="E73" s="717"/>
      <c r="F73" s="717"/>
      <c r="G73" s="717"/>
      <c r="H73" s="717"/>
      <c r="I73" s="717"/>
      <c r="J73" s="717"/>
      <c r="K73" s="66"/>
    </row>
    <row r="74" spans="1:11" s="13" customFormat="1" ht="35.25" customHeight="1">
      <c r="A74" s="64"/>
      <c r="B74" s="65"/>
      <c r="C74" s="379"/>
      <c r="D74" s="379"/>
      <c r="E74" s="379"/>
      <c r="F74" s="379"/>
      <c r="G74" s="379"/>
      <c r="H74" s="379"/>
      <c r="I74" s="379"/>
      <c r="J74" s="379"/>
      <c r="K74" s="66"/>
    </row>
    <row r="75" spans="1:11" s="13" customFormat="1" ht="21.75" customHeight="1">
      <c r="A75" s="64"/>
      <c r="B75" s="68" t="s">
        <v>367</v>
      </c>
      <c r="C75" s="65"/>
      <c r="D75" s="65"/>
      <c r="E75" s="65"/>
      <c r="F75" s="65"/>
      <c r="G75" s="65"/>
      <c r="H75" s="65"/>
      <c r="I75" s="65"/>
      <c r="J75" s="65"/>
      <c r="K75" s="66"/>
    </row>
    <row r="76" spans="1:11" s="13" customFormat="1" ht="15.6" customHeight="1">
      <c r="A76" s="64"/>
      <c r="B76" s="65"/>
      <c r="C76" s="718" t="s">
        <v>368</v>
      </c>
      <c r="D76" s="718"/>
      <c r="E76" s="718"/>
      <c r="F76" s="718"/>
      <c r="G76" s="718"/>
      <c r="H76" s="718"/>
      <c r="I76" s="718"/>
      <c r="J76" s="718"/>
      <c r="K76" s="66"/>
    </row>
    <row r="77" spans="1:11" s="13" customFormat="1" ht="15.6" customHeight="1">
      <c r="A77" s="64"/>
      <c r="B77" s="409"/>
      <c r="C77" s="718"/>
      <c r="D77" s="718"/>
      <c r="E77" s="718"/>
      <c r="F77" s="718"/>
      <c r="G77" s="718"/>
      <c r="H77" s="718"/>
      <c r="I77" s="718"/>
      <c r="J77" s="718"/>
      <c r="K77" s="66"/>
    </row>
    <row r="78" spans="1:11" s="13" customFormat="1" ht="15.6" customHeight="1">
      <c r="A78" s="64"/>
      <c r="B78" s="409"/>
      <c r="C78" s="718"/>
      <c r="D78" s="718"/>
      <c r="E78" s="718"/>
      <c r="F78" s="718"/>
      <c r="G78" s="718"/>
      <c r="H78" s="718"/>
      <c r="I78" s="718"/>
      <c r="J78" s="718"/>
      <c r="K78" s="66"/>
    </row>
    <row r="79" spans="1:11" s="13" customFormat="1" ht="15.6" customHeight="1">
      <c r="A79" s="64"/>
      <c r="B79" s="409"/>
      <c r="C79" s="718"/>
      <c r="D79" s="718"/>
      <c r="E79" s="718"/>
      <c r="F79" s="718"/>
      <c r="G79" s="718"/>
      <c r="H79" s="718"/>
      <c r="I79" s="718"/>
      <c r="J79" s="718"/>
      <c r="K79" s="66"/>
    </row>
    <row r="80" spans="1:11" s="13" customFormat="1" ht="11.25" customHeight="1">
      <c r="A80" s="64"/>
      <c r="B80" s="409"/>
      <c r="C80" s="718"/>
      <c r="D80" s="718"/>
      <c r="E80" s="718"/>
      <c r="F80" s="718"/>
      <c r="G80" s="718"/>
      <c r="H80" s="718"/>
      <c r="I80" s="718"/>
      <c r="J80" s="718"/>
      <c r="K80" s="66"/>
    </row>
    <row r="81" spans="1:11" s="13" customFormat="1" ht="6.75" customHeight="1">
      <c r="A81" s="64"/>
      <c r="B81" s="409"/>
      <c r="C81" s="718"/>
      <c r="D81" s="718"/>
      <c r="E81" s="718"/>
      <c r="F81" s="718"/>
      <c r="G81" s="718"/>
      <c r="H81" s="718"/>
      <c r="I81" s="718"/>
      <c r="J81" s="718"/>
      <c r="K81" s="66"/>
    </row>
    <row r="82" spans="1:11" s="13" customFormat="1" ht="16.899999999999999" customHeight="1">
      <c r="A82" s="90"/>
      <c r="B82" s="68" t="s">
        <v>163</v>
      </c>
      <c r="C82" s="91"/>
      <c r="D82" s="92"/>
      <c r="E82" s="65"/>
      <c r="F82" s="65"/>
      <c r="G82" s="65"/>
      <c r="H82" s="65"/>
      <c r="I82" s="65"/>
      <c r="J82" s="65"/>
      <c r="K82" s="66"/>
    </row>
    <row r="83" spans="1:11" s="13" customFormat="1" ht="15" customHeight="1">
      <c r="A83" s="64"/>
      <c r="B83" s="68"/>
      <c r="C83" s="93" t="s">
        <v>484</v>
      </c>
      <c r="D83" s="65"/>
      <c r="E83" s="65"/>
      <c r="F83" s="65"/>
      <c r="G83" s="74"/>
      <c r="H83" s="74"/>
      <c r="I83" s="65"/>
      <c r="J83" s="65"/>
      <c r="K83" s="66"/>
    </row>
    <row r="84" spans="1:11" ht="18.75" customHeight="1">
      <c r="A84" s="86"/>
      <c r="B84" s="381"/>
      <c r="C84" s="65"/>
      <c r="D84" s="65"/>
      <c r="E84" s="65"/>
      <c r="F84" s="72"/>
      <c r="G84" s="89" t="s">
        <v>124</v>
      </c>
      <c r="H84" s="465"/>
      <c r="I84" s="387" t="s">
        <v>115</v>
      </c>
      <c r="J84" s="709" t="s">
        <v>25</v>
      </c>
      <c r="K84" s="710"/>
    </row>
    <row r="85" spans="1:11" ht="3.75" customHeight="1">
      <c r="A85" s="86"/>
      <c r="B85" s="76"/>
      <c r="C85" s="65"/>
      <c r="D85" s="65"/>
      <c r="E85" s="65"/>
      <c r="F85" s="72"/>
      <c r="G85" s="77"/>
      <c r="H85" s="50"/>
      <c r="I85" s="385"/>
      <c r="J85" s="380"/>
      <c r="K85" s="97"/>
    </row>
    <row r="86" spans="1:11" ht="26.25" customHeight="1">
      <c r="A86" s="86"/>
      <c r="B86" s="65"/>
      <c r="C86" s="65"/>
      <c r="D86" s="65"/>
      <c r="E86" s="381"/>
      <c r="F86" s="72"/>
      <c r="G86" s="89" t="s">
        <v>125</v>
      </c>
      <c r="H86" s="464"/>
      <c r="I86" s="387" t="s">
        <v>115</v>
      </c>
      <c r="J86" s="709" t="s">
        <v>25</v>
      </c>
      <c r="K86" s="710"/>
    </row>
    <row r="87" spans="1:11" ht="3" customHeight="1">
      <c r="A87" s="86"/>
      <c r="B87" s="65"/>
      <c r="C87" s="65"/>
      <c r="D87" s="65"/>
      <c r="E87" s="381"/>
      <c r="F87" s="72"/>
      <c r="G87" s="83"/>
      <c r="H87" s="53"/>
      <c r="I87" s="387"/>
      <c r="J87" s="380"/>
      <c r="K87" s="97"/>
    </row>
    <row r="88" spans="1:11" ht="17.25" customHeight="1">
      <c r="A88" s="86"/>
      <c r="B88" s="72"/>
      <c r="C88" s="65"/>
      <c r="D88" s="65"/>
      <c r="E88" s="381"/>
      <c r="F88" s="72"/>
      <c r="G88" s="89" t="s">
        <v>128</v>
      </c>
      <c r="H88" s="466"/>
      <c r="I88" s="387" t="s">
        <v>123</v>
      </c>
      <c r="J88" s="709" t="s">
        <v>48</v>
      </c>
      <c r="K88" s="710"/>
    </row>
    <row r="89" spans="1:11" ht="6" customHeight="1" thickBot="1">
      <c r="A89" s="86"/>
      <c r="B89" s="74"/>
      <c r="C89" s="72"/>
      <c r="D89" s="74"/>
      <c r="E89" s="72"/>
      <c r="F89" s="72"/>
      <c r="G89" s="89"/>
      <c r="H89" s="51"/>
      <c r="I89" s="74"/>
      <c r="J89" s="380"/>
      <c r="K89" s="97"/>
    </row>
    <row r="90" spans="1:11" ht="20.25" customHeight="1" thickBot="1">
      <c r="A90" s="86"/>
      <c r="B90" s="72"/>
      <c r="C90" s="381" t="s">
        <v>370</v>
      </c>
      <c r="D90" s="76"/>
      <c r="E90" s="76"/>
      <c r="F90" s="72"/>
      <c r="G90" s="82" t="s">
        <v>486</v>
      </c>
      <c r="H90" s="302" t="str">
        <f>IF(OR(H86="",H84=""),"",(H84/H86)*100-100)</f>
        <v/>
      </c>
      <c r="I90" s="389" t="s">
        <v>116</v>
      </c>
      <c r="J90" s="380"/>
      <c r="K90" s="97"/>
    </row>
    <row r="91" spans="1:11" ht="18" customHeight="1">
      <c r="A91" s="86"/>
      <c r="B91" s="76"/>
      <c r="C91" s="728" t="s">
        <v>118</v>
      </c>
      <c r="D91" s="728"/>
      <c r="E91" s="719">
        <f>IF(AND(H86&gt;0.1,H86&lt;=1),15,IF(H86&gt;1,10,20))</f>
        <v>20</v>
      </c>
      <c r="F91" s="719"/>
      <c r="G91" s="382">
        <f>IF(AND(H86&gt;0.1,H86&lt;=1),-15,IF(H86&gt;1,-10,-20))</f>
        <v>-20</v>
      </c>
      <c r="H91" s="98"/>
      <c r="I91" s="98"/>
      <c r="J91" s="380"/>
      <c r="K91" s="97"/>
    </row>
    <row r="92" spans="1:11" ht="12" customHeight="1">
      <c r="A92" s="86"/>
      <c r="B92" s="383"/>
      <c r="C92" s="383"/>
      <c r="D92" s="382"/>
      <c r="E92" s="87"/>
      <c r="F92" s="72"/>
      <c r="G92" s="89"/>
      <c r="H92" s="99"/>
      <c r="I92" s="99"/>
      <c r="J92" s="380"/>
      <c r="K92" s="97"/>
    </row>
    <row r="93" spans="1:11" ht="17.25" customHeight="1">
      <c r="A93" s="86"/>
      <c r="B93" s="383"/>
      <c r="C93" s="93" t="s">
        <v>485</v>
      </c>
      <c r="D93" s="382"/>
      <c r="E93" s="87"/>
      <c r="F93" s="72"/>
      <c r="G93" s="89"/>
      <c r="H93" s="99"/>
      <c r="I93" s="99"/>
      <c r="J93" s="380"/>
      <c r="K93" s="97"/>
    </row>
    <row r="94" spans="1:11" ht="18" customHeight="1">
      <c r="A94" s="86"/>
      <c r="B94" s="381"/>
      <c r="C94" s="72"/>
      <c r="D94" s="65"/>
      <c r="E94" s="65"/>
      <c r="F94" s="72"/>
      <c r="G94" s="89" t="s">
        <v>126</v>
      </c>
      <c r="H94" s="465"/>
      <c r="I94" s="387" t="s">
        <v>115</v>
      </c>
      <c r="J94" s="709" t="s">
        <v>25</v>
      </c>
      <c r="K94" s="710"/>
    </row>
    <row r="95" spans="1:11" ht="3.75" customHeight="1">
      <c r="A95" s="86"/>
      <c r="B95" s="76"/>
      <c r="C95" s="65"/>
      <c r="D95" s="65"/>
      <c r="E95" s="65"/>
      <c r="F95" s="72"/>
      <c r="G95" s="77"/>
      <c r="H95" s="50"/>
      <c r="I95" s="385"/>
      <c r="J95" s="380"/>
      <c r="K95" s="97"/>
    </row>
    <row r="96" spans="1:11" ht="26.25" customHeight="1">
      <c r="A96" s="86"/>
      <c r="B96" s="65"/>
      <c r="C96" s="65"/>
      <c r="D96" s="65"/>
      <c r="E96" s="381"/>
      <c r="F96" s="72"/>
      <c r="G96" s="89" t="s">
        <v>127</v>
      </c>
      <c r="H96" s="464"/>
      <c r="I96" s="387" t="s">
        <v>115</v>
      </c>
      <c r="J96" s="709" t="s">
        <v>25</v>
      </c>
      <c r="K96" s="710"/>
    </row>
    <row r="97" spans="1:13" ht="5.25" customHeight="1" thickBot="1">
      <c r="A97" s="86"/>
      <c r="B97" s="65"/>
      <c r="C97" s="65"/>
      <c r="D97" s="65"/>
      <c r="E97" s="381"/>
      <c r="F97" s="72"/>
      <c r="G97" s="83"/>
      <c r="H97" s="53"/>
      <c r="I97" s="387"/>
      <c r="J97" s="100"/>
      <c r="K97" s="101"/>
    </row>
    <row r="98" spans="1:13" ht="19.5" customHeight="1" thickBot="1">
      <c r="A98" s="86"/>
      <c r="B98" s="72"/>
      <c r="C98" s="381" t="s">
        <v>370</v>
      </c>
      <c r="D98" s="76"/>
      <c r="E98" s="76"/>
      <c r="F98" s="72"/>
      <c r="G98" s="82" t="s">
        <v>369</v>
      </c>
      <c r="H98" s="302" t="str">
        <f>IF(OR(H96="",H94=""),"",(H94/H96)*100-100)</f>
        <v/>
      </c>
      <c r="I98" s="389" t="s">
        <v>116</v>
      </c>
      <c r="J98" s="100"/>
      <c r="K98" s="101"/>
    </row>
    <row r="99" spans="1:13" ht="21" customHeight="1">
      <c r="A99" s="86"/>
      <c r="B99" s="76"/>
      <c r="C99" s="728" t="s">
        <v>118</v>
      </c>
      <c r="D99" s="728"/>
      <c r="E99" s="719">
        <f>IF(AND(H96&gt;0.1,H96&lt;=1),10,IF(H96&gt;1,5,15))</f>
        <v>15</v>
      </c>
      <c r="F99" s="719"/>
      <c r="G99" s="382">
        <f>IF(AND(H96&gt;0.1,H96&lt;=1),-10,IF(H96&gt;1,-10,-15))</f>
        <v>-15</v>
      </c>
      <c r="H99" s="98"/>
      <c r="I99" s="98"/>
      <c r="J99" s="100"/>
      <c r="K99" s="101"/>
    </row>
    <row r="100" spans="1:13" ht="14.25" customHeight="1">
      <c r="A100" s="86"/>
      <c r="B100" s="76"/>
      <c r="C100" s="383"/>
      <c r="D100" s="383"/>
      <c r="E100" s="382"/>
      <c r="F100" s="382"/>
      <c r="G100" s="382"/>
      <c r="H100" s="98"/>
      <c r="I100" s="98"/>
      <c r="J100" s="100"/>
      <c r="K100" s="101"/>
    </row>
    <row r="101" spans="1:13" ht="14.25" customHeight="1">
      <c r="A101" s="86"/>
      <c r="B101" s="76"/>
      <c r="C101" s="383"/>
      <c r="D101" s="383"/>
      <c r="E101" s="382"/>
      <c r="F101" s="382"/>
      <c r="G101" s="382"/>
      <c r="H101" s="98"/>
      <c r="I101" s="98"/>
      <c r="J101" s="100"/>
      <c r="K101" s="101"/>
    </row>
    <row r="102" spans="1:13" ht="14.25" customHeight="1">
      <c r="A102" s="86"/>
      <c r="B102" s="76"/>
      <c r="C102" s="383"/>
      <c r="D102" s="383"/>
      <c r="E102" s="382"/>
      <c r="F102" s="382"/>
      <c r="G102" s="382"/>
      <c r="H102" s="98"/>
      <c r="I102" s="98"/>
      <c r="J102" s="100"/>
      <c r="K102" s="101"/>
    </row>
    <row r="103" spans="1:13" ht="14.25" customHeight="1">
      <c r="A103" s="86"/>
      <c r="B103" s="76"/>
      <c r="C103" s="383"/>
      <c r="D103" s="383"/>
      <c r="E103" s="382"/>
      <c r="F103" s="382"/>
      <c r="G103" s="382"/>
      <c r="H103" s="98"/>
      <c r="I103" s="98"/>
      <c r="J103" s="100"/>
      <c r="K103" s="101"/>
    </row>
    <row r="104" spans="1:13" ht="15" customHeight="1" thickBot="1">
      <c r="A104" s="94"/>
      <c r="B104" s="95"/>
      <c r="C104" s="95"/>
      <c r="D104" s="95"/>
      <c r="E104" s="95"/>
      <c r="F104" s="95"/>
      <c r="G104" s="96"/>
      <c r="H104" s="96"/>
      <c r="I104" s="96"/>
      <c r="J104" s="96"/>
      <c r="K104" s="102"/>
    </row>
    <row r="105" spans="1:13" ht="15" customHeight="1" thickBot="1">
      <c r="A105" s="107"/>
      <c r="B105" s="107"/>
      <c r="C105" s="107"/>
      <c r="D105" s="107"/>
      <c r="E105" s="107"/>
      <c r="F105" s="107"/>
      <c r="G105" s="107"/>
      <c r="H105" s="107"/>
      <c r="I105" s="107"/>
      <c r="J105" s="107"/>
      <c r="K105" s="107"/>
    </row>
    <row r="106" spans="1:13" s="13" customFormat="1" ht="18.75" customHeight="1" thickBot="1">
      <c r="A106" s="735" t="s">
        <v>171</v>
      </c>
      <c r="B106" s="736"/>
      <c r="C106" s="736"/>
      <c r="D106" s="736"/>
      <c r="E106" s="736"/>
      <c r="F106" s="736"/>
      <c r="G106" s="736"/>
      <c r="H106" s="736"/>
      <c r="I106" s="736"/>
      <c r="J106" s="736"/>
      <c r="K106" s="737"/>
    </row>
    <row r="107" spans="1:13" s="13" customFormat="1" ht="28.5" customHeight="1" thickTop="1">
      <c r="A107" s="14" t="s">
        <v>179</v>
      </c>
      <c r="B107" s="711" t="str">
        <f>表紙!B3&amp;"　　（１．定格エネルギー消費量）"</f>
        <v>アンダーカウンター洗浄機、ドアタイプ洗浄機（選択してください）　　（１．定格エネルギー消費量）</v>
      </c>
      <c r="C107" s="712"/>
      <c r="D107" s="712"/>
      <c r="E107" s="712"/>
      <c r="F107" s="712"/>
      <c r="G107" s="712"/>
      <c r="H107" s="712"/>
      <c r="I107" s="712"/>
      <c r="J107" s="713" t="str">
        <f>"ガス種："&amp;表紙!$I$11</f>
        <v>ガス種：(選択して下さい)</v>
      </c>
      <c r="K107" s="714"/>
    </row>
    <row r="108" spans="1:13" s="13" customFormat="1" ht="18" customHeight="1" thickBot="1">
      <c r="A108" s="15" t="s">
        <v>378</v>
      </c>
      <c r="B108" s="720" t="str">
        <f>IF(表紙!$B$6=0,"",表紙!$B$6)</f>
        <v/>
      </c>
      <c r="C108" s="720"/>
      <c r="D108" s="721"/>
      <c r="E108" s="721"/>
      <c r="F108" s="722"/>
      <c r="G108" s="374" t="s">
        <v>3</v>
      </c>
      <c r="H108" s="725" t="str">
        <f>IF(表紙!$H$5=0,"",表紙!$H$5)</f>
        <v/>
      </c>
      <c r="I108" s="726"/>
      <c r="J108" s="726"/>
      <c r="K108" s="727"/>
    </row>
    <row r="109" spans="1:13" s="13" customFormat="1" ht="15" customHeight="1">
      <c r="A109" s="80"/>
      <c r="B109" s="74"/>
      <c r="C109" s="425"/>
      <c r="D109" s="425"/>
      <c r="E109" s="425"/>
      <c r="F109" s="272"/>
      <c r="G109" s="115"/>
      <c r="H109" s="74"/>
      <c r="I109" s="115"/>
      <c r="J109" s="272"/>
      <c r="K109" s="116"/>
    </row>
    <row r="110" spans="1:13" ht="16.5" customHeight="1">
      <c r="A110" s="86"/>
      <c r="B110" s="72"/>
      <c r="C110" s="72"/>
      <c r="D110" s="72"/>
      <c r="E110" s="72"/>
      <c r="F110" s="72"/>
      <c r="G110" s="89"/>
      <c r="H110" s="99"/>
      <c r="I110" s="99"/>
      <c r="J110" s="100"/>
      <c r="K110" s="101"/>
    </row>
    <row r="111" spans="1:13" ht="19.5" customHeight="1">
      <c r="A111" s="103"/>
      <c r="B111" s="68" t="s">
        <v>164</v>
      </c>
      <c r="C111" s="383"/>
      <c r="D111" s="382"/>
      <c r="E111" s="87"/>
      <c r="F111" s="72"/>
      <c r="G111" s="89"/>
      <c r="H111" s="99"/>
      <c r="I111" s="99"/>
      <c r="J111" s="100"/>
      <c r="K111" s="101"/>
    </row>
    <row r="112" spans="1:13" s="13" customFormat="1" ht="17.25" customHeight="1">
      <c r="A112" s="64"/>
      <c r="B112" s="65"/>
      <c r="C112" s="104" t="s">
        <v>201</v>
      </c>
      <c r="D112" s="81"/>
      <c r="E112" s="81"/>
      <c r="F112" s="81"/>
      <c r="G112" s="75" t="s">
        <v>204</v>
      </c>
      <c r="H112" s="465"/>
      <c r="I112" s="387" t="s">
        <v>115</v>
      </c>
      <c r="J112" s="738" t="s">
        <v>25</v>
      </c>
      <c r="K112" s="739"/>
      <c r="M112" s="17"/>
    </row>
    <row r="113" spans="1:13" s="13" customFormat="1" ht="3.75" customHeight="1">
      <c r="A113" s="64"/>
      <c r="B113" s="65"/>
      <c r="C113" s="104"/>
      <c r="D113" s="81"/>
      <c r="E113" s="81"/>
      <c r="F113" s="81"/>
      <c r="G113" s="105"/>
      <c r="H113" s="50"/>
      <c r="I113" s="385"/>
      <c r="J113" s="385"/>
      <c r="K113" s="108"/>
      <c r="M113" s="28"/>
    </row>
    <row r="114" spans="1:13" s="13" customFormat="1" ht="26.25" customHeight="1">
      <c r="A114" s="64"/>
      <c r="B114" s="65"/>
      <c r="C114" s="81" t="s">
        <v>202</v>
      </c>
      <c r="D114" s="81"/>
      <c r="E114" s="104"/>
      <c r="F114" s="81"/>
      <c r="G114" s="75" t="s">
        <v>511</v>
      </c>
      <c r="H114" s="464"/>
      <c r="I114" s="387" t="s">
        <v>115</v>
      </c>
      <c r="J114" s="738" t="s">
        <v>25</v>
      </c>
      <c r="K114" s="739"/>
    </row>
    <row r="115" spans="1:13" ht="3.75" customHeight="1">
      <c r="A115" s="86"/>
      <c r="B115" s="72"/>
      <c r="C115" s="106"/>
      <c r="D115" s="106"/>
      <c r="E115" s="81"/>
      <c r="F115" s="81"/>
      <c r="G115" s="75"/>
      <c r="H115" s="85"/>
      <c r="I115" s="74"/>
      <c r="J115" s="109"/>
      <c r="K115" s="101"/>
    </row>
    <row r="116" spans="1:13" ht="12" customHeight="1" thickBot="1">
      <c r="A116" s="86"/>
      <c r="B116" s="72"/>
      <c r="C116" s="708" t="s">
        <v>203</v>
      </c>
      <c r="D116" s="740"/>
      <c r="E116" s="740"/>
      <c r="F116" s="740"/>
      <c r="G116" s="105"/>
      <c r="H116" s="72"/>
      <c r="I116" s="72"/>
      <c r="J116" s="100"/>
      <c r="K116" s="101"/>
    </row>
    <row r="117" spans="1:13" ht="24.75" customHeight="1" thickBot="1">
      <c r="A117" s="86"/>
      <c r="B117" s="72"/>
      <c r="C117" s="740"/>
      <c r="D117" s="740"/>
      <c r="E117" s="740"/>
      <c r="F117" s="740"/>
      <c r="G117" s="75" t="s">
        <v>205</v>
      </c>
      <c r="H117" s="302" t="str">
        <f>IF(OR(H114="",H112=""),"",(H112/H114)*100-100)</f>
        <v/>
      </c>
      <c r="I117" s="389" t="s">
        <v>116</v>
      </c>
      <c r="J117" s="100"/>
      <c r="K117" s="101"/>
    </row>
    <row r="118" spans="1:13" ht="15" customHeight="1">
      <c r="A118" s="86"/>
      <c r="B118" s="76"/>
      <c r="C118" s="728" t="s">
        <v>118</v>
      </c>
      <c r="D118" s="728"/>
      <c r="E118" s="719">
        <f>IF(H114*1000&lt;=30,25,IF(H114*1000&lt;=100,20,IF(H114*1000&lt;=1000,15,10)))</f>
        <v>25</v>
      </c>
      <c r="F118" s="719"/>
      <c r="G118" s="232">
        <f>IF(H114*1000&lt;=30,-25,IF(H114*1000&lt;=100,-20,IF(H114*1000&lt;=1000,-15,-10)))</f>
        <v>-25</v>
      </c>
      <c r="H118" s="98"/>
      <c r="I118" s="389"/>
      <c r="J118" s="100"/>
      <c r="K118" s="101"/>
    </row>
    <row r="119" spans="1:13" ht="16.5" customHeight="1">
      <c r="A119" s="86"/>
      <c r="B119" s="72"/>
      <c r="C119" s="72"/>
      <c r="D119" s="72"/>
      <c r="E119" s="72"/>
      <c r="F119" s="89"/>
      <c r="G119" s="99"/>
      <c r="H119" s="99"/>
      <c r="I119" s="389"/>
      <c r="J119" s="100"/>
      <c r="K119" s="101"/>
    </row>
    <row r="120" spans="1:13" ht="15" customHeight="1">
      <c r="A120" s="86"/>
      <c r="B120" s="107"/>
      <c r="C120" s="389" t="s">
        <v>117</v>
      </c>
      <c r="D120" s="74"/>
      <c r="E120" s="74"/>
      <c r="F120" s="107"/>
      <c r="G120" s="389" t="s">
        <v>161</v>
      </c>
      <c r="H120" s="74"/>
      <c r="I120" s="65"/>
      <c r="J120" s="65"/>
      <c r="K120" s="101"/>
    </row>
    <row r="121" spans="1:13" ht="16.5" customHeight="1">
      <c r="A121" s="86"/>
      <c r="B121" s="389"/>
      <c r="C121" s="74"/>
      <c r="D121" s="74"/>
      <c r="E121" s="74"/>
      <c r="F121" s="389"/>
      <c r="G121" s="74"/>
      <c r="H121" s="74"/>
      <c r="I121" s="65"/>
      <c r="J121" s="65"/>
      <c r="K121" s="101"/>
    </row>
    <row r="122" spans="1:13" ht="16.5" customHeight="1">
      <c r="A122" s="86"/>
      <c r="B122" s="389"/>
      <c r="C122" s="74"/>
      <c r="D122" s="74"/>
      <c r="E122" s="74"/>
      <c r="F122" s="74"/>
      <c r="G122" s="74"/>
      <c r="H122" s="74"/>
      <c r="I122" s="65"/>
      <c r="J122" s="65"/>
      <c r="K122" s="101"/>
    </row>
    <row r="123" spans="1:13" ht="15" customHeight="1">
      <c r="A123" s="86"/>
      <c r="B123" s="65"/>
      <c r="C123" s="74"/>
      <c r="D123" s="74"/>
      <c r="E123" s="74"/>
      <c r="F123" s="74"/>
      <c r="G123" s="74"/>
      <c r="H123" s="74"/>
      <c r="I123" s="65"/>
      <c r="J123" s="65"/>
      <c r="K123" s="101"/>
    </row>
    <row r="124" spans="1:13" ht="15" customHeight="1">
      <c r="A124" s="86"/>
      <c r="B124" s="65"/>
      <c r="C124" s="74"/>
      <c r="D124" s="74"/>
      <c r="E124" s="74"/>
      <c r="F124" s="74"/>
      <c r="G124" s="74"/>
      <c r="H124" s="74"/>
      <c r="I124" s="65"/>
      <c r="J124" s="65"/>
      <c r="K124" s="101"/>
    </row>
    <row r="125" spans="1:13" ht="15" customHeight="1">
      <c r="A125" s="86"/>
      <c r="B125" s="65"/>
      <c r="C125" s="74"/>
      <c r="D125" s="74"/>
      <c r="E125" s="74"/>
      <c r="F125" s="74"/>
      <c r="G125" s="74"/>
      <c r="H125" s="74"/>
      <c r="I125" s="65"/>
      <c r="J125" s="65"/>
      <c r="K125" s="101"/>
    </row>
    <row r="126" spans="1:13" ht="15" customHeight="1">
      <c r="A126" s="86"/>
      <c r="B126" s="65"/>
      <c r="C126" s="74"/>
      <c r="D126" s="74"/>
      <c r="E126" s="74"/>
      <c r="F126" s="74"/>
      <c r="G126" s="74"/>
      <c r="H126" s="74"/>
      <c r="I126" s="65"/>
      <c r="J126" s="65"/>
      <c r="K126" s="101"/>
    </row>
    <row r="127" spans="1:13" ht="15" customHeight="1">
      <c r="A127" s="86"/>
      <c r="B127" s="65"/>
      <c r="C127" s="74"/>
      <c r="D127" s="74"/>
      <c r="E127" s="74"/>
      <c r="F127" s="74"/>
      <c r="G127" s="74"/>
      <c r="H127" s="74"/>
      <c r="I127" s="65"/>
      <c r="J127" s="65"/>
      <c r="K127" s="101"/>
    </row>
    <row r="128" spans="1:13" ht="15" customHeight="1">
      <c r="A128" s="86"/>
      <c r="B128" s="65"/>
      <c r="C128" s="74"/>
      <c r="D128" s="74"/>
      <c r="E128" s="74"/>
      <c r="F128" s="74"/>
      <c r="G128" s="74"/>
      <c r="H128" s="74"/>
      <c r="I128" s="65"/>
      <c r="J128" s="65"/>
      <c r="K128" s="101"/>
    </row>
    <row r="129" spans="1:11" ht="15" customHeight="1">
      <c r="A129" s="86"/>
      <c r="B129" s="65"/>
      <c r="C129" s="65"/>
      <c r="D129" s="65"/>
      <c r="E129" s="65"/>
      <c r="F129" s="65"/>
      <c r="G129" s="65"/>
      <c r="H129" s="65"/>
      <c r="I129" s="65"/>
      <c r="J129" s="65"/>
      <c r="K129" s="101"/>
    </row>
    <row r="130" spans="1:11" ht="15" customHeight="1">
      <c r="A130" s="86"/>
      <c r="B130" s="65"/>
      <c r="C130" s="65"/>
      <c r="D130" s="65"/>
      <c r="E130" s="65"/>
      <c r="F130" s="65"/>
      <c r="G130" s="65"/>
      <c r="H130" s="65"/>
      <c r="I130" s="65"/>
      <c r="J130" s="65"/>
      <c r="K130" s="101"/>
    </row>
    <row r="131" spans="1:11" ht="15" customHeight="1">
      <c r="A131" s="86"/>
      <c r="B131" s="65"/>
      <c r="C131" s="65"/>
      <c r="D131" s="65"/>
      <c r="E131" s="65"/>
      <c r="F131" s="65"/>
      <c r="G131" s="65"/>
      <c r="H131" s="65"/>
      <c r="I131" s="65"/>
      <c r="J131" s="65"/>
      <c r="K131" s="101"/>
    </row>
    <row r="132" spans="1:11" ht="15" customHeight="1">
      <c r="A132" s="86"/>
      <c r="B132" s="65"/>
      <c r="C132" s="65"/>
      <c r="D132" s="65"/>
      <c r="E132" s="65"/>
      <c r="F132" s="65"/>
      <c r="G132" s="65"/>
      <c r="H132" s="65"/>
      <c r="I132" s="65"/>
      <c r="J132" s="65"/>
      <c r="K132" s="101"/>
    </row>
    <row r="133" spans="1:11" ht="15" customHeight="1">
      <c r="A133" s="86"/>
      <c r="B133" s="65"/>
      <c r="C133" s="65"/>
      <c r="D133" s="65"/>
      <c r="E133" s="65"/>
      <c r="F133" s="65"/>
      <c r="G133" s="65"/>
      <c r="H133" s="65"/>
      <c r="I133" s="65"/>
      <c r="J133" s="65"/>
      <c r="K133" s="101"/>
    </row>
    <row r="134" spans="1:11" ht="15" customHeight="1">
      <c r="A134" s="86"/>
      <c r="B134" s="65"/>
      <c r="C134" s="65"/>
      <c r="D134" s="65"/>
      <c r="E134" s="65"/>
      <c r="F134" s="65"/>
      <c r="G134" s="65"/>
      <c r="H134" s="65"/>
      <c r="I134" s="65"/>
      <c r="J134" s="65"/>
      <c r="K134" s="101"/>
    </row>
    <row r="135" spans="1:11" ht="15" customHeight="1">
      <c r="A135" s="86"/>
      <c r="B135" s="65"/>
      <c r="C135" s="65"/>
      <c r="D135" s="65"/>
      <c r="E135" s="65"/>
      <c r="F135" s="65"/>
      <c r="G135" s="65"/>
      <c r="H135" s="65"/>
      <c r="I135" s="65"/>
      <c r="J135" s="65"/>
      <c r="K135" s="101"/>
    </row>
    <row r="136" spans="1:11" ht="15" customHeight="1">
      <c r="A136" s="86"/>
      <c r="B136" s="65"/>
      <c r="C136" s="65"/>
      <c r="D136" s="65"/>
      <c r="E136" s="65"/>
      <c r="F136" s="65"/>
      <c r="G136" s="65"/>
      <c r="H136" s="65"/>
      <c r="I136" s="65"/>
      <c r="J136" s="65"/>
      <c r="K136" s="101"/>
    </row>
    <row r="137" spans="1:11" ht="15" customHeight="1">
      <c r="A137" s="86"/>
      <c r="B137" s="65"/>
      <c r="C137" s="65"/>
      <c r="D137" s="65"/>
      <c r="E137" s="65"/>
      <c r="F137" s="65"/>
      <c r="G137" s="65"/>
      <c r="H137" s="65"/>
      <c r="I137" s="65"/>
      <c r="J137" s="65"/>
      <c r="K137" s="101"/>
    </row>
    <row r="138" spans="1:11" ht="15" customHeight="1">
      <c r="A138" s="86"/>
      <c r="B138" s="65"/>
      <c r="C138" s="65"/>
      <c r="D138" s="65"/>
      <c r="E138" s="65"/>
      <c r="F138" s="65"/>
      <c r="G138" s="65"/>
      <c r="H138" s="65"/>
      <c r="I138" s="65"/>
      <c r="J138" s="65"/>
      <c r="K138" s="101"/>
    </row>
    <row r="139" spans="1:11" ht="15" customHeight="1">
      <c r="A139" s="86"/>
      <c r="B139" s="65"/>
      <c r="C139" s="65"/>
      <c r="D139" s="65"/>
      <c r="E139" s="65"/>
      <c r="F139" s="65"/>
      <c r="G139" s="65"/>
      <c r="H139" s="65"/>
      <c r="I139" s="65"/>
      <c r="J139" s="65"/>
      <c r="K139" s="101"/>
    </row>
    <row r="140" spans="1:11" ht="15" customHeight="1">
      <c r="A140" s="86"/>
      <c r="B140" s="65"/>
      <c r="C140" s="65"/>
      <c r="D140" s="65"/>
      <c r="E140" s="65"/>
      <c r="F140" s="65"/>
      <c r="G140" s="65"/>
      <c r="H140" s="65"/>
      <c r="I140" s="65"/>
      <c r="J140" s="65"/>
      <c r="K140" s="101"/>
    </row>
    <row r="141" spans="1:11" ht="15" customHeight="1">
      <c r="A141" s="86"/>
      <c r="B141" s="65"/>
      <c r="C141" s="65"/>
      <c r="D141" s="65"/>
      <c r="E141" s="65"/>
      <c r="F141" s="65"/>
      <c r="G141" s="65"/>
      <c r="H141" s="65"/>
      <c r="I141" s="65"/>
      <c r="J141" s="65"/>
      <c r="K141" s="101"/>
    </row>
    <row r="142" spans="1:11" ht="15" customHeight="1">
      <c r="A142" s="86"/>
      <c r="B142" s="65"/>
      <c r="C142" s="65"/>
      <c r="D142" s="65"/>
      <c r="E142" s="65"/>
      <c r="F142" s="65"/>
      <c r="G142" s="65"/>
      <c r="H142" s="65"/>
      <c r="I142" s="65"/>
      <c r="J142" s="65"/>
      <c r="K142" s="101"/>
    </row>
    <row r="143" spans="1:11" ht="15" customHeight="1">
      <c r="A143" s="86"/>
      <c r="B143" s="65"/>
      <c r="C143" s="65"/>
      <c r="D143" s="65"/>
      <c r="E143" s="65"/>
      <c r="F143" s="65"/>
      <c r="G143" s="65"/>
      <c r="H143" s="65"/>
      <c r="I143" s="65"/>
      <c r="J143" s="65"/>
      <c r="K143" s="101"/>
    </row>
    <row r="144" spans="1:11" ht="15" customHeight="1">
      <c r="A144" s="86"/>
      <c r="B144" s="65"/>
      <c r="C144" s="65"/>
      <c r="D144" s="65"/>
      <c r="E144" s="65"/>
      <c r="F144" s="65"/>
      <c r="G144" s="65"/>
      <c r="H144" s="65"/>
      <c r="I144" s="65"/>
      <c r="J144" s="65"/>
      <c r="K144" s="101"/>
    </row>
    <row r="145" spans="1:11" ht="15" customHeight="1">
      <c r="A145" s="86"/>
      <c r="B145" s="65"/>
      <c r="C145" s="65"/>
      <c r="D145" s="65"/>
      <c r="E145" s="65"/>
      <c r="F145" s="65"/>
      <c r="G145" s="65"/>
      <c r="H145" s="65"/>
      <c r="I145" s="65"/>
      <c r="J145" s="65"/>
      <c r="K145" s="101"/>
    </row>
    <row r="146" spans="1:11" ht="15" customHeight="1">
      <c r="A146" s="86"/>
      <c r="B146" s="65"/>
      <c r="C146" s="65"/>
      <c r="D146" s="65"/>
      <c r="E146" s="65"/>
      <c r="F146" s="65"/>
      <c r="G146" s="65"/>
      <c r="H146" s="65"/>
      <c r="I146" s="65"/>
      <c r="J146" s="65"/>
      <c r="K146" s="101"/>
    </row>
    <row r="147" spans="1:11" ht="15" customHeight="1">
      <c r="A147" s="86"/>
      <c r="B147" s="65"/>
      <c r="C147" s="65"/>
      <c r="D147" s="65"/>
      <c r="E147" s="65"/>
      <c r="F147" s="65"/>
      <c r="G147" s="65"/>
      <c r="H147" s="65"/>
      <c r="I147" s="65"/>
      <c r="J147" s="65"/>
      <c r="K147" s="101"/>
    </row>
    <row r="148" spans="1:11" ht="15" customHeight="1">
      <c r="A148" s="86"/>
      <c r="B148" s="65"/>
      <c r="C148" s="65"/>
      <c r="D148" s="65"/>
      <c r="E148" s="65"/>
      <c r="F148" s="65"/>
      <c r="G148" s="65"/>
      <c r="H148" s="65"/>
      <c r="I148" s="65"/>
      <c r="J148" s="65"/>
      <c r="K148" s="101"/>
    </row>
    <row r="149" spans="1:11" ht="15" customHeight="1">
      <c r="A149" s="86"/>
      <c r="B149" s="65"/>
      <c r="C149" s="65"/>
      <c r="D149" s="65"/>
      <c r="E149" s="65"/>
      <c r="F149" s="65"/>
      <c r="G149" s="65"/>
      <c r="H149" s="65"/>
      <c r="I149" s="65"/>
      <c r="J149" s="65"/>
      <c r="K149" s="101"/>
    </row>
    <row r="150" spans="1:11" ht="15" customHeight="1">
      <c r="A150" s="86"/>
      <c r="B150" s="65"/>
      <c r="C150" s="65"/>
      <c r="D150" s="65"/>
      <c r="E150" s="65"/>
      <c r="F150" s="65"/>
      <c r="G150" s="65"/>
      <c r="H150" s="65"/>
      <c r="I150" s="65"/>
      <c r="J150" s="65"/>
      <c r="K150" s="101"/>
    </row>
    <row r="151" spans="1:11" ht="15" customHeight="1">
      <c r="A151" s="86"/>
      <c r="B151" s="65"/>
      <c r="C151" s="65"/>
      <c r="D151" s="65"/>
      <c r="E151" s="65"/>
      <c r="F151" s="65"/>
      <c r="G151" s="65"/>
      <c r="H151" s="65"/>
      <c r="I151" s="65"/>
      <c r="J151" s="65"/>
      <c r="K151" s="101"/>
    </row>
    <row r="152" spans="1:11" ht="15" customHeight="1">
      <c r="A152" s="86"/>
      <c r="B152" s="65"/>
      <c r="C152" s="65"/>
      <c r="D152" s="65"/>
      <c r="E152" s="65"/>
      <c r="F152" s="65"/>
      <c r="G152" s="65"/>
      <c r="H152" s="65"/>
      <c r="I152" s="65"/>
      <c r="J152" s="65"/>
      <c r="K152" s="101"/>
    </row>
    <row r="153" spans="1:11" ht="15" customHeight="1">
      <c r="A153" s="86"/>
      <c r="B153" s="65"/>
      <c r="C153" s="65"/>
      <c r="D153" s="65"/>
      <c r="E153" s="65"/>
      <c r="F153" s="65"/>
      <c r="G153" s="65"/>
      <c r="H153" s="65"/>
      <c r="I153" s="65"/>
      <c r="J153" s="65"/>
      <c r="K153" s="101"/>
    </row>
    <row r="154" spans="1:11" ht="15" customHeight="1">
      <c r="A154" s="86"/>
      <c r="B154" s="65"/>
      <c r="C154" s="65"/>
      <c r="D154" s="65"/>
      <c r="E154" s="65"/>
      <c r="F154" s="65"/>
      <c r="G154" s="65"/>
      <c r="H154" s="65"/>
      <c r="I154" s="65"/>
      <c r="J154" s="65"/>
      <c r="K154" s="101"/>
    </row>
    <row r="155" spans="1:11" ht="15" customHeight="1">
      <c r="A155" s="86"/>
      <c r="B155" s="65"/>
      <c r="C155" s="65"/>
      <c r="D155" s="65"/>
      <c r="E155" s="65"/>
      <c r="F155" s="65"/>
      <c r="G155" s="65"/>
      <c r="H155" s="65"/>
      <c r="I155" s="65"/>
      <c r="J155" s="65"/>
      <c r="K155" s="101"/>
    </row>
    <row r="156" spans="1:11" s="13" customFormat="1" ht="15" customHeight="1" thickBot="1">
      <c r="A156" s="110"/>
      <c r="B156" s="96"/>
      <c r="C156" s="96"/>
      <c r="D156" s="96"/>
      <c r="E156" s="96"/>
      <c r="F156" s="96"/>
      <c r="G156" s="96"/>
      <c r="H156" s="96"/>
      <c r="I156" s="96"/>
      <c r="J156" s="96"/>
      <c r="K156" s="102"/>
    </row>
    <row r="157" spans="1:11" ht="9.75" customHeight="1">
      <c r="A157" s="29"/>
      <c r="B157" s="29"/>
      <c r="C157" s="29"/>
      <c r="D157" s="29"/>
      <c r="E157" s="29"/>
      <c r="F157" s="29"/>
      <c r="G157" s="29"/>
      <c r="H157" s="29"/>
      <c r="I157" s="29"/>
      <c r="J157" s="29"/>
    </row>
  </sheetData>
  <sheetProtection password="CC9A" sheet="1" objects="1" scenarios="1" formatCells="0" formatRows="0" insertRows="0" deleteRows="0"/>
  <mergeCells count="60">
    <mergeCell ref="J31:K31"/>
    <mergeCell ref="C8:J12"/>
    <mergeCell ref="C29:E29"/>
    <mergeCell ref="A2:K2"/>
    <mergeCell ref="B3:I3"/>
    <mergeCell ref="J3:K3"/>
    <mergeCell ref="B4:F4"/>
    <mergeCell ref="H4:K4"/>
    <mergeCell ref="C15:J19"/>
    <mergeCell ref="C21:H21"/>
    <mergeCell ref="I21:J21"/>
    <mergeCell ref="B5:E5"/>
    <mergeCell ref="J114:K114"/>
    <mergeCell ref="C116:F117"/>
    <mergeCell ref="J94:K94"/>
    <mergeCell ref="J96:K96"/>
    <mergeCell ref="J29:K29"/>
    <mergeCell ref="C35:F35"/>
    <mergeCell ref="J30:K30"/>
    <mergeCell ref="J32:K32"/>
    <mergeCell ref="J34:K34"/>
    <mergeCell ref="C30:E30"/>
    <mergeCell ref="C31:F31"/>
    <mergeCell ref="C32:F32"/>
    <mergeCell ref="J35:K35"/>
    <mergeCell ref="C33:F33"/>
    <mergeCell ref="C34:F34"/>
    <mergeCell ref="J33:K33"/>
    <mergeCell ref="B40:G40"/>
    <mergeCell ref="J41:K41"/>
    <mergeCell ref="D54:J54"/>
    <mergeCell ref="A55:K55"/>
    <mergeCell ref="E118:F118"/>
    <mergeCell ref="E91:F91"/>
    <mergeCell ref="E99:F99"/>
    <mergeCell ref="C118:D118"/>
    <mergeCell ref="C91:D91"/>
    <mergeCell ref="A106:K106"/>
    <mergeCell ref="B107:I107"/>
    <mergeCell ref="J107:K107"/>
    <mergeCell ref="B108:F108"/>
    <mergeCell ref="H108:K108"/>
    <mergeCell ref="C99:D99"/>
    <mergeCell ref="J112:K112"/>
    <mergeCell ref="J88:K88"/>
    <mergeCell ref="C71:J73"/>
    <mergeCell ref="C76:J81"/>
    <mergeCell ref="E68:F68"/>
    <mergeCell ref="B57:F57"/>
    <mergeCell ref="C59:F59"/>
    <mergeCell ref="J59:K59"/>
    <mergeCell ref="H57:K57"/>
    <mergeCell ref="C68:D68"/>
    <mergeCell ref="J62:K62"/>
    <mergeCell ref="C41:F41"/>
    <mergeCell ref="J84:K84"/>
    <mergeCell ref="J86:K86"/>
    <mergeCell ref="B56:I56"/>
    <mergeCell ref="J56:K56"/>
    <mergeCell ref="C43:J51"/>
  </mergeCells>
  <phoneticPr fontId="3"/>
  <conditionalFormatting sqref="H67">
    <cfRule type="expression" dxfId="21" priority="3" stopIfTrue="1">
      <formula>OR(+$H$67&gt;$E$68,$H$67&lt;$G$68)</formula>
    </cfRule>
  </conditionalFormatting>
  <conditionalFormatting sqref="H37">
    <cfRule type="expression" dxfId="20" priority="31">
      <formula>$I$21="①"</formula>
    </cfRule>
  </conditionalFormatting>
  <conditionalFormatting sqref="H29:H34">
    <cfRule type="expression" dxfId="19" priority="32">
      <formula>$I$21="①"</formula>
    </cfRule>
  </conditionalFormatting>
  <conditionalFormatting sqref="H35 H41">
    <cfRule type="expression" dxfId="18" priority="33">
      <formula>$I$21="①"</formula>
    </cfRule>
  </conditionalFormatting>
  <conditionalFormatting sqref="H59">
    <cfRule type="expression" dxfId="17" priority="34">
      <formula>$I$21="②"</formula>
    </cfRule>
  </conditionalFormatting>
  <conditionalFormatting sqref="B23">
    <cfRule type="expression" dxfId="16" priority="2">
      <formula>$I$21="①"</formula>
    </cfRule>
  </conditionalFormatting>
  <conditionalFormatting sqref="B43">
    <cfRule type="expression" dxfId="15" priority="1">
      <formula>$I$21="②"</formula>
    </cfRule>
  </conditionalFormatting>
  <conditionalFormatting sqref="H117">
    <cfRule type="expression" dxfId="14" priority="37" stopIfTrue="1">
      <formula>OR(+$H$117&gt;$E$118,$H$117&lt;$G$118)</formula>
    </cfRule>
  </conditionalFormatting>
  <conditionalFormatting sqref="I91 H118 I99:I103">
    <cfRule type="expression" dxfId="13" priority="38" stopIfTrue="1">
      <formula>OR(+$I$117&gt;$E$118,$I$117&lt;$G$118)</formula>
    </cfRule>
  </conditionalFormatting>
  <conditionalFormatting sqref="H90">
    <cfRule type="expression" dxfId="12" priority="39" stopIfTrue="1">
      <formula>OR(+$H$90&gt;$E$91,$H$90&lt;$G$91)</formula>
    </cfRule>
  </conditionalFormatting>
  <conditionalFormatting sqref="H98">
    <cfRule type="expression" dxfId="11" priority="40" stopIfTrue="1">
      <formula>OR(+$H$98&gt;$E$99,$H$98&lt;$G$99)</formula>
    </cfRule>
  </conditionalFormatting>
  <dataValidations count="2">
    <dataValidation type="list" allowBlank="1" showInputMessage="1" showErrorMessage="1" sqref="H37">
      <formula1>"（選択）,湿　式,乾　式"</formula1>
    </dataValidation>
    <dataValidation type="list" allowBlank="1" showInputMessage="1" showErrorMessage="1" sqref="I21:J22">
      <formula1>"（選択して下さい）,①,②"</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3" manualBreakCount="3">
    <brk id="53" max="10" man="1"/>
    <brk id="104" max="10" man="1"/>
    <brk id="15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108"/>
  <sheetViews>
    <sheetView view="pageBreakPreview" zoomScaleNormal="100" zoomScaleSheetLayoutView="100" workbookViewId="0">
      <selection activeCell="C5" sqref="C5:D5"/>
    </sheetView>
  </sheetViews>
  <sheetFormatPr defaultColWidth="9" defaultRowHeight="13.5"/>
  <cols>
    <col min="1" max="1" width="7.125" style="12" customWidth="1"/>
    <col min="2" max="2" width="12.375" style="12" customWidth="1"/>
    <col min="3" max="4" width="7.75" style="12" customWidth="1"/>
    <col min="5" max="5" width="7.625" style="12" customWidth="1"/>
    <col min="6" max="6" width="6.25" style="12" customWidth="1"/>
    <col min="7" max="8" width="10.625" style="12" customWidth="1"/>
    <col min="9" max="9" width="7.875" style="12" customWidth="1"/>
    <col min="10" max="10" width="5" style="12" customWidth="1"/>
    <col min="11" max="11" width="6.5" style="12" customWidth="1"/>
    <col min="12" max="12" width="11.375" style="12" customWidth="1"/>
    <col min="13" max="16384" width="9" style="12"/>
  </cols>
  <sheetData>
    <row r="1" spans="1:13" ht="15" customHeight="1" thickBot="1">
      <c r="A1" s="107"/>
      <c r="B1" s="107"/>
      <c r="C1" s="107"/>
      <c r="D1" s="107"/>
      <c r="E1" s="107"/>
      <c r="F1" s="107"/>
      <c r="G1" s="107"/>
      <c r="H1" s="107"/>
      <c r="I1" s="107"/>
      <c r="J1" s="107"/>
      <c r="K1" s="107"/>
    </row>
    <row r="2" spans="1:13" s="13" customFormat="1" ht="18.75" customHeight="1" thickBot="1">
      <c r="A2" s="732" t="s">
        <v>171</v>
      </c>
      <c r="B2" s="733"/>
      <c r="C2" s="733"/>
      <c r="D2" s="733"/>
      <c r="E2" s="733"/>
      <c r="F2" s="733"/>
      <c r="G2" s="733"/>
      <c r="H2" s="733"/>
      <c r="I2" s="733"/>
      <c r="J2" s="733"/>
      <c r="K2" s="734"/>
    </row>
    <row r="3" spans="1:13" s="13" customFormat="1" ht="28.5" customHeight="1" thickTop="1">
      <c r="A3" s="14" t="s">
        <v>179</v>
      </c>
      <c r="B3" s="711" t="str">
        <f>+表紙!B3&amp;"　　（３．立上り性能）"</f>
        <v>アンダーカウンター洗浄機、ドアタイプ洗浄機（選択してください）　　（３．立上り性能）</v>
      </c>
      <c r="C3" s="712"/>
      <c r="D3" s="712"/>
      <c r="E3" s="712"/>
      <c r="F3" s="712"/>
      <c r="G3" s="712"/>
      <c r="H3" s="745"/>
      <c r="I3" s="761" t="str">
        <f>"ガス種："&amp;表紙!I11</f>
        <v>ガス種：(選択して下さい)</v>
      </c>
      <c r="J3" s="761"/>
      <c r="K3" s="714"/>
      <c r="L3" s="755"/>
      <c r="M3" s="755"/>
    </row>
    <row r="4" spans="1:13" s="13" customFormat="1" ht="18" customHeight="1" thickBot="1">
      <c r="A4" s="15" t="s">
        <v>378</v>
      </c>
      <c r="B4" s="720" t="str">
        <f>IF(表紙!$B$6=0,"",表紙!$B$6)</f>
        <v/>
      </c>
      <c r="C4" s="720"/>
      <c r="D4" s="720"/>
      <c r="E4" s="720"/>
      <c r="F4" s="722"/>
      <c r="G4" s="374" t="s">
        <v>3</v>
      </c>
      <c r="H4" s="725" t="str">
        <f>IF(表紙!$H$5=0,"",表紙!$H$5)</f>
        <v/>
      </c>
      <c r="I4" s="726"/>
      <c r="J4" s="726"/>
      <c r="K4" s="727"/>
    </row>
    <row r="5" spans="1:13" s="13" customFormat="1" ht="15.75" customHeight="1">
      <c r="A5" s="283" t="s">
        <v>27</v>
      </c>
      <c r="B5" s="765" t="s">
        <v>35</v>
      </c>
      <c r="C5" s="768"/>
      <c r="D5" s="769"/>
      <c r="E5" s="766" t="s">
        <v>70</v>
      </c>
      <c r="F5" s="767"/>
      <c r="G5" s="284"/>
      <c r="H5" s="765" t="s">
        <v>36</v>
      </c>
      <c r="I5" s="284"/>
      <c r="J5" s="770" t="s">
        <v>69</v>
      </c>
      <c r="K5" s="10"/>
    </row>
    <row r="6" spans="1:13" s="13" customFormat="1" ht="15.75" customHeight="1" thickBot="1">
      <c r="A6" s="285" t="s">
        <v>28</v>
      </c>
      <c r="B6" s="608"/>
      <c r="C6" s="772"/>
      <c r="D6" s="773"/>
      <c r="E6" s="635"/>
      <c r="F6" s="636"/>
      <c r="G6" s="286"/>
      <c r="H6" s="608"/>
      <c r="I6" s="286"/>
      <c r="J6" s="771"/>
      <c r="K6" s="11"/>
    </row>
    <row r="7" spans="1:13" s="13" customFormat="1" ht="6.6" customHeight="1">
      <c r="A7" s="80"/>
      <c r="B7" s="111"/>
      <c r="C7" s="112"/>
      <c r="D7" s="112"/>
      <c r="E7" s="113"/>
      <c r="F7" s="114"/>
      <c r="G7" s="115"/>
      <c r="H7" s="74"/>
      <c r="I7" s="115"/>
      <c r="J7" s="272"/>
      <c r="K7" s="116"/>
    </row>
    <row r="8" spans="1:13" s="13" customFormat="1" ht="22.5" customHeight="1" thickBot="1">
      <c r="A8" s="64"/>
      <c r="B8" s="117" t="s">
        <v>105</v>
      </c>
      <c r="C8" s="96"/>
      <c r="D8" s="96"/>
      <c r="E8" s="96"/>
      <c r="F8" s="96"/>
      <c r="G8" s="65"/>
      <c r="H8" s="118" t="str">
        <f>IF(表紙!G16="B.立上り時の給湯が仕上げすすぎﾀﾝｸに入る場合","記入不要","")</f>
        <v/>
      </c>
      <c r="I8" s="65"/>
      <c r="J8" s="65"/>
      <c r="K8" s="66"/>
    </row>
    <row r="9" spans="1:13" s="13" customFormat="1" ht="15" customHeight="1">
      <c r="A9" s="64"/>
      <c r="B9" s="777" t="s">
        <v>371</v>
      </c>
      <c r="C9" s="777"/>
      <c r="D9" s="777"/>
      <c r="E9" s="777"/>
      <c r="F9" s="777"/>
      <c r="G9" s="777"/>
      <c r="H9" s="777"/>
      <c r="I9" s="777"/>
      <c r="J9" s="777"/>
      <c r="K9" s="66"/>
    </row>
    <row r="10" spans="1:13" s="13" customFormat="1" ht="15" customHeight="1">
      <c r="A10" s="64"/>
      <c r="B10" s="777"/>
      <c r="C10" s="777"/>
      <c r="D10" s="777"/>
      <c r="E10" s="777"/>
      <c r="F10" s="777"/>
      <c r="G10" s="777"/>
      <c r="H10" s="777"/>
      <c r="I10" s="777"/>
      <c r="J10" s="777"/>
      <c r="K10" s="66"/>
      <c r="M10" s="13" t="str">
        <f>表紙!G16</f>
        <v>（選択してください）</v>
      </c>
    </row>
    <row r="11" spans="1:13" s="13" customFormat="1" ht="15" customHeight="1">
      <c r="A11" s="64"/>
      <c r="B11" s="777"/>
      <c r="C11" s="777"/>
      <c r="D11" s="777"/>
      <c r="E11" s="777"/>
      <c r="F11" s="777"/>
      <c r="G11" s="777"/>
      <c r="H11" s="777"/>
      <c r="I11" s="777"/>
      <c r="J11" s="777"/>
      <c r="K11" s="66"/>
      <c r="M11" s="13" t="str">
        <f>IF(M10="A.給湯(標準温度:60℃)を接続し、立上り時の給湯が洗浄タンクに直接入る場合",""," 別のシートを使用してください")</f>
        <v xml:space="preserve"> 別のシートを使用してください</v>
      </c>
    </row>
    <row r="12" spans="1:13" s="13" customFormat="1" ht="15" customHeight="1">
      <c r="A12" s="64"/>
      <c r="B12" s="777"/>
      <c r="C12" s="777"/>
      <c r="D12" s="777"/>
      <c r="E12" s="777"/>
      <c r="F12" s="777"/>
      <c r="G12" s="777"/>
      <c r="H12" s="777"/>
      <c r="I12" s="777"/>
      <c r="J12" s="777"/>
      <c r="K12" s="66"/>
    </row>
    <row r="13" spans="1:13" s="13" customFormat="1" ht="15" customHeight="1">
      <c r="A13" s="64"/>
      <c r="B13" s="777"/>
      <c r="C13" s="777"/>
      <c r="D13" s="777"/>
      <c r="E13" s="777"/>
      <c r="F13" s="777"/>
      <c r="G13" s="777"/>
      <c r="H13" s="777"/>
      <c r="I13" s="777"/>
      <c r="J13" s="777"/>
      <c r="K13" s="66"/>
    </row>
    <row r="14" spans="1:13" s="13" customFormat="1" ht="15" customHeight="1">
      <c r="A14" s="64"/>
      <c r="B14" s="777"/>
      <c r="C14" s="777"/>
      <c r="D14" s="777"/>
      <c r="E14" s="777"/>
      <c r="F14" s="777"/>
      <c r="G14" s="777"/>
      <c r="H14" s="777"/>
      <c r="I14" s="777"/>
      <c r="J14" s="777"/>
      <c r="K14" s="66"/>
    </row>
    <row r="15" spans="1:13" s="13" customFormat="1" ht="30" customHeight="1">
      <c r="A15" s="64"/>
      <c r="B15" s="777"/>
      <c r="C15" s="777"/>
      <c r="D15" s="777"/>
      <c r="E15" s="777"/>
      <c r="F15" s="777"/>
      <c r="G15" s="777"/>
      <c r="H15" s="777"/>
      <c r="I15" s="777"/>
      <c r="J15" s="777"/>
      <c r="K15" s="66"/>
    </row>
    <row r="16" spans="1:13" s="13" customFormat="1" ht="15.75" customHeight="1">
      <c r="A16" s="64"/>
      <c r="B16" s="774" t="s">
        <v>102</v>
      </c>
      <c r="C16" s="774"/>
      <c r="D16" s="74"/>
      <c r="E16" s="74"/>
      <c r="F16" s="74"/>
      <c r="G16" s="192" t="s">
        <v>27</v>
      </c>
      <c r="H16" s="192" t="s">
        <v>28</v>
      </c>
      <c r="I16" s="65"/>
      <c r="J16" s="65"/>
      <c r="K16" s="66"/>
    </row>
    <row r="17" spans="1:14" s="13" customFormat="1" ht="15.75" customHeight="1">
      <c r="A17" s="64"/>
      <c r="B17" s="280" t="s">
        <v>487</v>
      </c>
      <c r="C17" s="278"/>
      <c r="D17" s="278"/>
      <c r="E17" s="278"/>
      <c r="F17" s="74"/>
      <c r="G17" s="74"/>
      <c r="H17" s="74"/>
      <c r="I17" s="65"/>
      <c r="J17" s="65"/>
      <c r="K17" s="66"/>
    </row>
    <row r="18" spans="1:14" s="13" customFormat="1" ht="17.25" customHeight="1">
      <c r="A18" s="64"/>
      <c r="B18" s="778"/>
      <c r="C18" s="778"/>
      <c r="D18" s="778"/>
      <c r="E18" s="778"/>
      <c r="F18" s="119" t="s">
        <v>376</v>
      </c>
      <c r="G18" s="303"/>
      <c r="H18" s="303"/>
      <c r="I18" s="387" t="s">
        <v>26</v>
      </c>
      <c r="J18" s="757" t="s">
        <v>29</v>
      </c>
      <c r="K18" s="758"/>
    </row>
    <row r="19" spans="1:14" s="13" customFormat="1" ht="17.25" customHeight="1">
      <c r="A19" s="64"/>
      <c r="B19" s="764" t="s">
        <v>372</v>
      </c>
      <c r="C19" s="764"/>
      <c r="D19" s="764"/>
      <c r="E19" s="764"/>
      <c r="F19" s="119" t="s">
        <v>377</v>
      </c>
      <c r="G19" s="304"/>
      <c r="H19" s="304"/>
      <c r="I19" s="387" t="s">
        <v>17</v>
      </c>
      <c r="J19" s="757" t="s">
        <v>24</v>
      </c>
      <c r="K19" s="758"/>
    </row>
    <row r="20" spans="1:14" s="13" customFormat="1" ht="6" customHeight="1" thickBot="1">
      <c r="A20" s="64"/>
      <c r="B20" s="71"/>
      <c r="C20" s="71"/>
      <c r="D20" s="71"/>
      <c r="E20" s="71"/>
      <c r="F20" s="119"/>
      <c r="G20" s="132"/>
      <c r="H20" s="132"/>
      <c r="I20" s="387"/>
      <c r="J20" s="129"/>
      <c r="K20" s="66"/>
    </row>
    <row r="21" spans="1:14" s="13" customFormat="1" ht="17.25" customHeight="1" thickBot="1">
      <c r="A21" s="64"/>
      <c r="B21" s="389" t="s">
        <v>373</v>
      </c>
      <c r="C21" s="71"/>
      <c r="D21" s="71"/>
      <c r="E21" s="71"/>
      <c r="F21" s="120" t="s">
        <v>207</v>
      </c>
      <c r="G21" s="305" t="str">
        <f>IF(G18&lt;&gt;"",+G18,"")</f>
        <v/>
      </c>
      <c r="H21" s="305" t="str">
        <f>IF(H18&lt;&gt;"",+H18,"")</f>
        <v/>
      </c>
      <c r="I21" s="387" t="s">
        <v>26</v>
      </c>
      <c r="J21" s="757" t="s">
        <v>29</v>
      </c>
      <c r="K21" s="758"/>
    </row>
    <row r="22" spans="1:14" s="13" customFormat="1" ht="5.25" customHeight="1" thickBot="1">
      <c r="A22" s="64"/>
      <c r="B22" s="71"/>
      <c r="C22" s="71"/>
      <c r="D22" s="71"/>
      <c r="E22" s="71"/>
      <c r="F22" s="121"/>
      <c r="G22" s="132"/>
      <c r="H22" s="132"/>
      <c r="I22" s="387"/>
      <c r="J22" s="129"/>
      <c r="K22" s="66"/>
    </row>
    <row r="23" spans="1:14" s="13" customFormat="1" ht="21" customHeight="1" thickBot="1">
      <c r="A23" s="64"/>
      <c r="B23" s="122" t="s">
        <v>374</v>
      </c>
      <c r="C23" s="71"/>
      <c r="D23" s="71"/>
      <c r="E23" s="71"/>
      <c r="F23" s="89"/>
      <c r="G23" s="133" t="s">
        <v>217</v>
      </c>
      <c r="H23" s="347" t="str">
        <f>IF(COUNTBLANK(G21:H21)=0,(G21+H21)/2,"")</f>
        <v/>
      </c>
      <c r="I23" s="387" t="s">
        <v>26</v>
      </c>
      <c r="J23" s="757" t="s">
        <v>29</v>
      </c>
      <c r="K23" s="758"/>
    </row>
    <row r="24" spans="1:14" s="13" customFormat="1" ht="6" customHeight="1" thickBot="1">
      <c r="A24" s="64"/>
      <c r="B24" s="71"/>
      <c r="C24" s="71"/>
      <c r="D24" s="71"/>
      <c r="E24" s="71"/>
      <c r="F24" s="121"/>
      <c r="G24" s="132"/>
      <c r="H24" s="39"/>
      <c r="I24" s="387"/>
      <c r="J24" s="129"/>
      <c r="K24" s="66"/>
    </row>
    <row r="25" spans="1:14" s="13" customFormat="1" ht="17.25" customHeight="1" thickBot="1">
      <c r="A25" s="64"/>
      <c r="B25" s="72"/>
      <c r="C25" s="71"/>
      <c r="D25" s="71"/>
      <c r="E25" s="71"/>
      <c r="F25" s="121"/>
      <c r="G25" s="132" t="s">
        <v>33</v>
      </c>
      <c r="H25" s="306" t="str">
        <f>IF(H23&lt;&gt;"",ABS(G21-H21)/H23,"")</f>
        <v/>
      </c>
      <c r="I25" s="393" t="s">
        <v>506</v>
      </c>
      <c r="J25" s="129"/>
      <c r="K25" s="66"/>
    </row>
    <row r="26" spans="1:14" s="13" customFormat="1" ht="14.25">
      <c r="A26" s="64"/>
      <c r="B26" s="123" t="s">
        <v>12</v>
      </c>
      <c r="C26" s="123"/>
      <c r="D26" s="124"/>
      <c r="E26" s="124"/>
      <c r="F26" s="89"/>
      <c r="G26" s="89"/>
      <c r="H26" s="134"/>
      <c r="I26" s="387"/>
      <c r="J26" s="130"/>
      <c r="K26" s="66"/>
    </row>
    <row r="27" spans="1:14" s="13" customFormat="1" ht="17.25" customHeight="1">
      <c r="A27" s="64"/>
      <c r="B27" s="764" t="s">
        <v>375</v>
      </c>
      <c r="C27" s="764"/>
      <c r="D27" s="764"/>
      <c r="E27" s="764"/>
      <c r="F27" s="119" t="s">
        <v>208</v>
      </c>
      <c r="G27" s="303"/>
      <c r="H27" s="303"/>
      <c r="I27" s="387" t="s">
        <v>67</v>
      </c>
      <c r="J27" s="757" t="s">
        <v>29</v>
      </c>
      <c r="K27" s="758"/>
      <c r="N27" s="28"/>
    </row>
    <row r="28" spans="1:14" s="13" customFormat="1" ht="17.25" customHeight="1">
      <c r="A28" s="64"/>
      <c r="B28" s="65" t="s">
        <v>380</v>
      </c>
      <c r="C28" s="65"/>
      <c r="D28" s="65"/>
      <c r="E28" s="65"/>
      <c r="F28" s="82" t="s">
        <v>335</v>
      </c>
      <c r="G28" s="304"/>
      <c r="H28" s="304"/>
      <c r="I28" s="387" t="s">
        <v>17</v>
      </c>
      <c r="J28" s="757" t="s">
        <v>24</v>
      </c>
      <c r="K28" s="758"/>
      <c r="L28" s="40"/>
    </row>
    <row r="29" spans="1:14" s="13" customFormat="1" ht="17.25" customHeight="1">
      <c r="A29" s="64"/>
      <c r="B29" s="389" t="s">
        <v>451</v>
      </c>
      <c r="C29" s="65"/>
      <c r="D29" s="65"/>
      <c r="E29" s="65"/>
      <c r="F29" s="82" t="s">
        <v>466</v>
      </c>
      <c r="G29" s="304"/>
      <c r="H29" s="304"/>
      <c r="I29" s="387" t="s">
        <v>17</v>
      </c>
      <c r="J29" s="757" t="s">
        <v>24</v>
      </c>
      <c r="K29" s="758"/>
    </row>
    <row r="30" spans="1:14" s="13" customFormat="1" ht="17.25" customHeight="1">
      <c r="A30" s="64"/>
      <c r="B30" s="389" t="s">
        <v>379</v>
      </c>
      <c r="C30" s="65"/>
      <c r="D30" s="65"/>
      <c r="E30" s="65"/>
      <c r="F30" s="119" t="s">
        <v>467</v>
      </c>
      <c r="G30" s="304"/>
      <c r="H30" s="304"/>
      <c r="I30" s="387" t="s">
        <v>17</v>
      </c>
      <c r="J30" s="757" t="s">
        <v>24</v>
      </c>
      <c r="K30" s="758"/>
    </row>
    <row r="31" spans="1:14" s="13" customFormat="1" ht="6" customHeight="1" thickBot="1">
      <c r="A31" s="64"/>
      <c r="B31" s="65"/>
      <c r="C31" s="65"/>
      <c r="D31" s="65"/>
      <c r="E31" s="65"/>
      <c r="F31" s="82"/>
      <c r="G31" s="134"/>
      <c r="H31" s="135"/>
      <c r="I31" s="387"/>
      <c r="J31" s="130"/>
      <c r="K31" s="66"/>
    </row>
    <row r="32" spans="1:14" s="13" customFormat="1" ht="17.25" customHeight="1" thickBot="1">
      <c r="A32" s="64"/>
      <c r="B32" s="65" t="s">
        <v>381</v>
      </c>
      <c r="C32" s="65"/>
      <c r="D32" s="65"/>
      <c r="E32" s="65"/>
      <c r="F32" s="119" t="s">
        <v>450</v>
      </c>
      <c r="G32" s="305" t="str">
        <f>IF(COUNTBLANK(G27:G28)=0,G27*(80-20)/(80-G28),"")</f>
        <v/>
      </c>
      <c r="H32" s="305" t="str">
        <f>IF(COUNTBLANK(H27:H28)=0,H27*(80-20)/(80-H28),"")</f>
        <v/>
      </c>
      <c r="I32" s="387" t="s">
        <v>67</v>
      </c>
      <c r="J32" s="757" t="s">
        <v>29</v>
      </c>
      <c r="K32" s="758"/>
      <c r="N32" s="25"/>
    </row>
    <row r="33" spans="1:14" s="13" customFormat="1" ht="6" customHeight="1" thickBot="1">
      <c r="A33" s="64"/>
      <c r="B33" s="65"/>
      <c r="C33" s="65"/>
      <c r="D33" s="65"/>
      <c r="E33" s="65"/>
      <c r="F33" s="121"/>
      <c r="G33" s="132"/>
      <c r="H33" s="41"/>
      <c r="I33" s="387"/>
      <c r="J33" s="129"/>
      <c r="K33" s="66"/>
      <c r="N33" s="25"/>
    </row>
    <row r="34" spans="1:14" s="13" customFormat="1" ht="21" customHeight="1" thickBot="1">
      <c r="A34" s="64"/>
      <c r="B34" s="389"/>
      <c r="C34" s="125"/>
      <c r="D34" s="125"/>
      <c r="E34" s="126"/>
      <c r="F34" s="127"/>
      <c r="G34" s="136" t="s">
        <v>442</v>
      </c>
      <c r="H34" s="347" t="str">
        <f>IF(COUNTBLANK(G32:H32)=0,(G32+H32)/2,"")</f>
        <v/>
      </c>
      <c r="I34" s="387" t="s">
        <v>67</v>
      </c>
      <c r="J34" s="757" t="s">
        <v>29</v>
      </c>
      <c r="K34" s="758"/>
      <c r="N34" s="25"/>
    </row>
    <row r="35" spans="1:14" s="13" customFormat="1" ht="6" customHeight="1" thickBot="1">
      <c r="A35" s="64"/>
      <c r="B35" s="389"/>
      <c r="C35" s="125"/>
      <c r="D35" s="125"/>
      <c r="E35" s="126"/>
      <c r="F35" s="127"/>
      <c r="G35" s="136"/>
      <c r="H35" s="39"/>
      <c r="I35" s="387"/>
      <c r="J35" s="131"/>
      <c r="K35" s="66"/>
      <c r="N35" s="28"/>
    </row>
    <row r="36" spans="1:14" s="13" customFormat="1" ht="17.25" customHeight="1" thickBot="1">
      <c r="A36" s="64"/>
      <c r="B36" s="389"/>
      <c r="C36" s="125"/>
      <c r="D36" s="125"/>
      <c r="E36" s="126"/>
      <c r="F36" s="127"/>
      <c r="G36" s="132" t="s">
        <v>33</v>
      </c>
      <c r="H36" s="306" t="str">
        <f>IF(H34&lt;&gt;"",ABS(G32-H32)/H34,"")</f>
        <v/>
      </c>
      <c r="I36" s="393" t="s">
        <v>506</v>
      </c>
      <c r="J36" s="131"/>
      <c r="K36" s="66"/>
      <c r="N36" s="28"/>
    </row>
    <row r="37" spans="1:14" s="13" customFormat="1" ht="4.5" customHeight="1">
      <c r="A37" s="64"/>
      <c r="B37" s="389"/>
      <c r="C37" s="125"/>
      <c r="D37" s="125"/>
      <c r="E37" s="126"/>
      <c r="F37" s="127"/>
      <c r="G37" s="132"/>
      <c r="H37" s="61"/>
      <c r="I37" s="387"/>
      <c r="J37" s="131"/>
      <c r="K37" s="66"/>
      <c r="N37" s="28"/>
    </row>
    <row r="38" spans="1:14" s="13" customFormat="1" ht="17.25" customHeight="1">
      <c r="A38" s="64"/>
      <c r="B38" s="65"/>
      <c r="C38" s="65"/>
      <c r="D38" s="124"/>
      <c r="E38" s="124"/>
      <c r="F38" s="89" t="s">
        <v>209</v>
      </c>
      <c r="G38" s="307" t="str">
        <f>IF(COUNT(G18,G27)=2,MAX(G18,G27),"")</f>
        <v/>
      </c>
      <c r="H38" s="307" t="str">
        <f>IF(COUNT(H18,H27)=2,MAX(H18,H27),"")</f>
        <v/>
      </c>
      <c r="I38" s="387" t="s">
        <v>26</v>
      </c>
      <c r="J38" s="757" t="s">
        <v>29</v>
      </c>
      <c r="K38" s="758"/>
      <c r="N38" s="28"/>
    </row>
    <row r="39" spans="1:14" s="13" customFormat="1" ht="6.75" customHeight="1">
      <c r="A39" s="64"/>
      <c r="B39" s="65"/>
      <c r="C39" s="124"/>
      <c r="D39" s="124"/>
      <c r="E39" s="124"/>
      <c r="F39" s="74"/>
      <c r="G39" s="132"/>
      <c r="H39" s="132"/>
      <c r="I39" s="387"/>
      <c r="J39" s="387"/>
      <c r="K39" s="388"/>
      <c r="N39" s="28"/>
    </row>
    <row r="40" spans="1:14" ht="18" thickBot="1">
      <c r="A40" s="86"/>
      <c r="B40" s="128" t="s">
        <v>444</v>
      </c>
      <c r="C40" s="128"/>
      <c r="D40" s="74"/>
      <c r="E40" s="74"/>
      <c r="F40" s="74"/>
      <c r="G40" s="74"/>
      <c r="H40" s="74"/>
      <c r="I40" s="377"/>
      <c r="J40" s="129"/>
      <c r="K40" s="66"/>
      <c r="M40" s="25"/>
    </row>
    <row r="41" spans="1:14" ht="24.75" customHeight="1" thickBot="1">
      <c r="A41" s="86"/>
      <c r="B41" s="762" t="s">
        <v>382</v>
      </c>
      <c r="C41" s="762"/>
      <c r="D41" s="762"/>
      <c r="E41" s="762"/>
      <c r="F41" s="762"/>
      <c r="G41" s="137" t="s">
        <v>443</v>
      </c>
      <c r="H41" s="348" t="str">
        <f>IF(AND(H25&lt;=0.1,H36&lt;=0.1),IF(COUNT(H23,H34)=2,MAX(H23,H34),""),"")</f>
        <v/>
      </c>
      <c r="I41" s="387" t="s">
        <v>67</v>
      </c>
      <c r="J41" s="757" t="s">
        <v>29</v>
      </c>
      <c r="K41" s="758"/>
    </row>
    <row r="42" spans="1:14" ht="7.15" customHeight="1">
      <c r="A42" s="86"/>
      <c r="B42" s="65"/>
      <c r="C42" s="124"/>
      <c r="D42" s="124"/>
      <c r="E42" s="124"/>
      <c r="F42" s="74"/>
      <c r="G42" s="132"/>
      <c r="H42" s="132"/>
      <c r="I42" s="387"/>
      <c r="J42" s="387"/>
      <c r="K42" s="388"/>
    </row>
    <row r="43" spans="1:14" ht="15" customHeight="1">
      <c r="A43" s="86"/>
      <c r="B43" s="763" t="s">
        <v>172</v>
      </c>
      <c r="C43" s="763"/>
      <c r="D43" s="763"/>
      <c r="E43" s="763"/>
      <c r="F43" s="763"/>
      <c r="G43" s="763"/>
      <c r="H43" s="132"/>
      <c r="I43" s="387"/>
      <c r="J43" s="387"/>
      <c r="K43" s="388"/>
    </row>
    <row r="44" spans="1:14" ht="15" customHeight="1">
      <c r="A44" s="64"/>
      <c r="B44" s="65" t="s">
        <v>383</v>
      </c>
      <c r="C44" s="65"/>
      <c r="D44" s="72"/>
      <c r="E44" s="72"/>
      <c r="F44" s="410"/>
      <c r="G44" s="410"/>
      <c r="H44" s="410"/>
      <c r="I44" s="410"/>
      <c r="J44" s="410"/>
      <c r="K44" s="66"/>
    </row>
    <row r="45" spans="1:14" ht="15" customHeight="1">
      <c r="A45" s="64"/>
      <c r="B45" s="72"/>
      <c r="C45" s="65"/>
      <c r="D45" s="72"/>
      <c r="E45" s="72"/>
      <c r="F45" s="410"/>
      <c r="G45" s="410"/>
      <c r="H45" s="410"/>
      <c r="I45" s="410"/>
      <c r="J45" s="410"/>
      <c r="K45" s="66"/>
    </row>
    <row r="46" spans="1:14" ht="15" customHeight="1">
      <c r="A46" s="64"/>
      <c r="B46" s="401"/>
      <c r="C46" s="72"/>
      <c r="D46" s="401"/>
      <c r="E46" s="401"/>
      <c r="F46" s="401"/>
      <c r="G46" s="401"/>
      <c r="H46" s="401"/>
      <c r="I46" s="401"/>
      <c r="J46" s="401"/>
      <c r="K46" s="66"/>
    </row>
    <row r="47" spans="1:14" ht="15" customHeight="1">
      <c r="A47" s="64"/>
      <c r="B47" s="401"/>
      <c r="C47" s="401"/>
      <c r="D47" s="401"/>
      <c r="E47" s="401"/>
      <c r="F47" s="401"/>
      <c r="G47" s="74" t="s">
        <v>27</v>
      </c>
      <c r="H47" s="138" t="s">
        <v>28</v>
      </c>
      <c r="I47" s="401"/>
      <c r="J47" s="401"/>
      <c r="K47" s="66"/>
    </row>
    <row r="48" spans="1:14" ht="16.5" customHeight="1">
      <c r="A48" s="64"/>
      <c r="B48" s="742" t="s">
        <v>353</v>
      </c>
      <c r="C48" s="742"/>
      <c r="D48" s="742"/>
      <c r="E48" s="410"/>
      <c r="F48" s="63" t="s">
        <v>346</v>
      </c>
      <c r="G48" s="309"/>
      <c r="H48" s="309"/>
      <c r="I48" s="426" t="s">
        <v>361</v>
      </c>
      <c r="J48" s="723" t="s">
        <v>25</v>
      </c>
      <c r="K48" s="724"/>
    </row>
    <row r="49" spans="1:13" ht="16.5" customHeight="1">
      <c r="A49" s="64"/>
      <c r="B49" s="742" t="s">
        <v>354</v>
      </c>
      <c r="C49" s="742"/>
      <c r="D49" s="742"/>
      <c r="E49" s="742"/>
      <c r="F49" s="63" t="s">
        <v>347</v>
      </c>
      <c r="G49" s="310"/>
      <c r="H49" s="310"/>
      <c r="I49" s="426" t="s">
        <v>507</v>
      </c>
      <c r="J49" s="775" t="s">
        <v>48</v>
      </c>
      <c r="K49" s="776"/>
    </row>
    <row r="50" spans="1:13" ht="16.5" customHeight="1">
      <c r="A50" s="64"/>
      <c r="B50" s="742" t="s">
        <v>355</v>
      </c>
      <c r="C50" s="742"/>
      <c r="D50" s="742"/>
      <c r="E50" s="742"/>
      <c r="F50" s="63" t="s">
        <v>348</v>
      </c>
      <c r="G50" s="311"/>
      <c r="H50" s="311"/>
      <c r="I50" s="426" t="s">
        <v>137</v>
      </c>
      <c r="J50" s="723" t="s">
        <v>24</v>
      </c>
      <c r="K50" s="724"/>
    </row>
    <row r="51" spans="1:13" ht="16.5" customHeight="1">
      <c r="A51" s="64"/>
      <c r="B51" s="742" t="s">
        <v>356</v>
      </c>
      <c r="C51" s="742"/>
      <c r="D51" s="742"/>
      <c r="E51" s="742"/>
      <c r="F51" s="63" t="s">
        <v>349</v>
      </c>
      <c r="G51" s="312"/>
      <c r="H51" s="312"/>
      <c r="I51" s="426" t="s">
        <v>138</v>
      </c>
      <c r="J51" s="723" t="s">
        <v>29</v>
      </c>
      <c r="K51" s="724"/>
    </row>
    <row r="52" spans="1:13" ht="16.5" customHeight="1">
      <c r="A52" s="64"/>
      <c r="B52" s="741" t="s">
        <v>357</v>
      </c>
      <c r="C52" s="741"/>
      <c r="D52" s="741"/>
      <c r="E52" s="741"/>
      <c r="F52" s="63" t="s">
        <v>350</v>
      </c>
      <c r="G52" s="312"/>
      <c r="H52" s="312"/>
      <c r="I52" s="426" t="s">
        <v>138</v>
      </c>
      <c r="J52" s="723" t="s">
        <v>29</v>
      </c>
      <c r="K52" s="724"/>
    </row>
    <row r="53" spans="1:13" ht="16.5" customHeight="1">
      <c r="A53" s="64"/>
      <c r="B53" s="741" t="s">
        <v>358</v>
      </c>
      <c r="C53" s="741"/>
      <c r="D53" s="741"/>
      <c r="E53" s="741"/>
      <c r="F53" s="63" t="s">
        <v>351</v>
      </c>
      <c r="G53" s="427" t="str">
        <f>IF(COUNTBLANK(G48:G52)=0,IF(G61="乾　式","0.00",10^(7.203-1735.74/(G50+234))),"")</f>
        <v/>
      </c>
      <c r="H53" s="427" t="str">
        <f>IF(COUNTBLANK(H48:H52)=0,IF(G61="乾　式","0.00",10^(7.203-1735.74/(H50+234))),"")</f>
        <v/>
      </c>
      <c r="I53" s="426" t="s">
        <v>138</v>
      </c>
      <c r="J53" s="723" t="s">
        <v>29</v>
      </c>
      <c r="K53" s="724"/>
    </row>
    <row r="54" spans="1:13" ht="16.5" customHeight="1">
      <c r="A54" s="64"/>
      <c r="B54" s="414"/>
      <c r="C54" s="414"/>
      <c r="D54" s="414"/>
      <c r="E54" s="414"/>
      <c r="F54" s="63"/>
      <c r="G54" s="428"/>
      <c r="H54" s="428"/>
      <c r="I54" s="417"/>
      <c r="J54" s="377"/>
      <c r="K54" s="378"/>
    </row>
    <row r="55" spans="1:13" ht="12" customHeight="1" thickBot="1">
      <c r="A55" s="110"/>
      <c r="B55" s="429"/>
      <c r="C55" s="429"/>
      <c r="D55" s="429"/>
      <c r="E55" s="430"/>
      <c r="F55" s="431"/>
      <c r="G55" s="432"/>
      <c r="H55" s="432"/>
      <c r="I55" s="433"/>
      <c r="J55" s="154"/>
      <c r="K55" s="155"/>
    </row>
    <row r="56" spans="1:13" ht="14.45" customHeight="1" thickBot="1">
      <c r="A56" s="233"/>
      <c r="B56" s="434"/>
      <c r="C56" s="434"/>
      <c r="D56" s="434"/>
      <c r="E56" s="435"/>
      <c r="F56" s="436"/>
      <c r="G56" s="437"/>
      <c r="H56" s="437"/>
      <c r="I56" s="438"/>
      <c r="J56" s="234"/>
      <c r="K56" s="234"/>
    </row>
    <row r="57" spans="1:13" s="13" customFormat="1" ht="22.5" customHeight="1" thickBot="1">
      <c r="A57" s="732" t="s">
        <v>171</v>
      </c>
      <c r="B57" s="733"/>
      <c r="C57" s="733"/>
      <c r="D57" s="733"/>
      <c r="E57" s="733"/>
      <c r="F57" s="733"/>
      <c r="G57" s="733"/>
      <c r="H57" s="733"/>
      <c r="I57" s="733"/>
      <c r="J57" s="733"/>
      <c r="K57" s="734"/>
    </row>
    <row r="58" spans="1:13" s="13" customFormat="1" ht="28.5" customHeight="1" thickTop="1">
      <c r="A58" s="14" t="s">
        <v>179</v>
      </c>
      <c r="B58" s="711" t="str">
        <f>+表紙!B3&amp;"　　（３．立上り性能）"</f>
        <v>アンダーカウンター洗浄機、ドアタイプ洗浄機（選択してください）　　（３．立上り性能）</v>
      </c>
      <c r="C58" s="712"/>
      <c r="D58" s="712"/>
      <c r="E58" s="712"/>
      <c r="F58" s="712"/>
      <c r="G58" s="712"/>
      <c r="H58" s="745"/>
      <c r="I58" s="761" t="str">
        <f>I3</f>
        <v>ガス種：(選択して下さい)</v>
      </c>
      <c r="J58" s="761"/>
      <c r="K58" s="714"/>
      <c r="L58" s="755"/>
      <c r="M58" s="755"/>
    </row>
    <row r="59" spans="1:13" s="13" customFormat="1" ht="18" customHeight="1" thickBot="1">
      <c r="A59" s="15" t="s">
        <v>378</v>
      </c>
      <c r="B59" s="720" t="str">
        <f>IF(表紙!$B$6=0,"",表紙!$B$6)</f>
        <v/>
      </c>
      <c r="C59" s="720"/>
      <c r="D59" s="720"/>
      <c r="E59" s="720"/>
      <c r="F59" s="722"/>
      <c r="G59" s="374" t="s">
        <v>3</v>
      </c>
      <c r="H59" s="725" t="str">
        <f>IF(表紙!$H$5=0,"",表紙!$H$5)</f>
        <v/>
      </c>
      <c r="I59" s="726"/>
      <c r="J59" s="726"/>
      <c r="K59" s="727"/>
    </row>
    <row r="60" spans="1:13" s="13" customFormat="1" ht="15" customHeight="1">
      <c r="A60" s="80"/>
      <c r="B60" s="74"/>
      <c r="C60" s="112"/>
      <c r="D60" s="112"/>
      <c r="E60" s="113"/>
      <c r="F60" s="113"/>
      <c r="G60" s="146"/>
      <c r="H60" s="111"/>
      <c r="I60" s="146"/>
      <c r="J60" s="139"/>
      <c r="K60" s="150"/>
    </row>
    <row r="61" spans="1:13" ht="18.75" customHeight="1">
      <c r="A61" s="64"/>
      <c r="B61" s="389" t="s">
        <v>472</v>
      </c>
      <c r="C61" s="72"/>
      <c r="D61" s="759"/>
      <c r="E61" s="759"/>
      <c r="F61" s="760"/>
      <c r="G61" s="467" t="s">
        <v>516</v>
      </c>
      <c r="H61" s="439"/>
      <c r="I61" s="417"/>
      <c r="J61" s="401"/>
      <c r="K61" s="66"/>
    </row>
    <row r="62" spans="1:13" ht="17.25" customHeight="1">
      <c r="A62" s="64"/>
      <c r="B62" s="381" t="s">
        <v>343</v>
      </c>
      <c r="C62" s="72"/>
      <c r="D62" s="381"/>
      <c r="E62" s="418"/>
      <c r="F62" s="418"/>
      <c r="G62" s="418"/>
      <c r="H62" s="401"/>
      <c r="I62" s="401"/>
      <c r="J62" s="440"/>
      <c r="K62" s="73"/>
    </row>
    <row r="63" spans="1:13" ht="17.25" customHeight="1">
      <c r="A63" s="64"/>
      <c r="B63" s="381" t="s">
        <v>344</v>
      </c>
      <c r="C63" s="72"/>
      <c r="D63" s="381"/>
      <c r="E63" s="418"/>
      <c r="F63" s="418"/>
      <c r="G63" s="418"/>
      <c r="H63" s="418"/>
      <c r="I63" s="418"/>
      <c r="J63" s="401"/>
      <c r="K63" s="66"/>
    </row>
    <row r="64" spans="1:13" ht="15" customHeight="1">
      <c r="A64" s="64"/>
      <c r="B64" s="729"/>
      <c r="C64" s="730"/>
      <c r="D64" s="730"/>
      <c r="E64" s="730"/>
      <c r="F64" s="730"/>
      <c r="G64" s="730"/>
      <c r="H64" s="74"/>
      <c r="I64" s="65"/>
      <c r="J64" s="65"/>
      <c r="K64" s="101"/>
    </row>
    <row r="65" spans="1:14" ht="15" customHeight="1">
      <c r="A65" s="64"/>
      <c r="B65" s="381"/>
      <c r="C65" s="76"/>
      <c r="D65" s="76"/>
      <c r="E65" s="76"/>
      <c r="F65" s="76"/>
      <c r="G65" s="76"/>
      <c r="H65" s="74"/>
      <c r="I65" s="65"/>
      <c r="J65" s="65"/>
      <c r="K65" s="101"/>
    </row>
    <row r="66" spans="1:14" ht="15" customHeight="1">
      <c r="A66" s="64"/>
      <c r="B66" s="381"/>
      <c r="C66" s="76"/>
      <c r="D66" s="76"/>
      <c r="E66" s="76"/>
      <c r="F66" s="76"/>
      <c r="G66" s="76"/>
      <c r="H66" s="74"/>
      <c r="I66" s="65"/>
      <c r="J66" s="65"/>
      <c r="K66" s="101"/>
    </row>
    <row r="67" spans="1:14" ht="15" customHeight="1">
      <c r="A67" s="64"/>
      <c r="B67" s="381"/>
      <c r="C67" s="76"/>
      <c r="D67" s="76"/>
      <c r="E67" s="76"/>
      <c r="F67" s="76"/>
      <c r="G67" s="76"/>
      <c r="H67" s="74"/>
      <c r="I67" s="65"/>
      <c r="J67" s="65"/>
      <c r="K67" s="101"/>
    </row>
    <row r="68" spans="1:14" ht="15" customHeight="1">
      <c r="A68" s="64"/>
      <c r="B68" s="381"/>
      <c r="C68" s="76"/>
      <c r="D68" s="76"/>
      <c r="E68" s="76"/>
      <c r="F68" s="76"/>
      <c r="G68" s="192" t="s">
        <v>27</v>
      </c>
      <c r="H68" s="193" t="s">
        <v>28</v>
      </c>
      <c r="I68" s="65"/>
      <c r="J68" s="65"/>
      <c r="K68" s="101"/>
    </row>
    <row r="69" spans="1:14" ht="14.25">
      <c r="A69" s="64"/>
      <c r="B69" s="280" t="s">
        <v>212</v>
      </c>
      <c r="C69" s="109"/>
      <c r="D69" s="109"/>
      <c r="E69" s="109"/>
      <c r="F69" s="76"/>
      <c r="G69" s="74"/>
      <c r="H69" s="138"/>
      <c r="I69" s="65"/>
      <c r="J69" s="65"/>
      <c r="K69" s="101"/>
    </row>
    <row r="70" spans="1:14" ht="20.25" customHeight="1">
      <c r="A70" s="64"/>
      <c r="B70" s="109"/>
      <c r="C70" s="109"/>
      <c r="D70" s="109"/>
      <c r="E70" s="109"/>
      <c r="F70" s="140" t="s">
        <v>210</v>
      </c>
      <c r="G70" s="313" t="str">
        <f>IF(COUNTBLANK(G48:G52)=0,(G48*G49*(G51+G52-G53)*273/3600/101.3/(273+G50)),"")</f>
        <v/>
      </c>
      <c r="H70" s="313" t="str">
        <f>IF(COUNTBLANK(H48:H52)=0,(H48*H49*(H51+H52-H53)*273/3600/101.3/(273+H50)),"")</f>
        <v/>
      </c>
      <c r="I70" s="387" t="s">
        <v>54</v>
      </c>
      <c r="J70" s="723" t="s">
        <v>25</v>
      </c>
      <c r="K70" s="724"/>
      <c r="M70" s="275" t="s">
        <v>149</v>
      </c>
      <c r="N70" s="12">
        <v>60</v>
      </c>
    </row>
    <row r="71" spans="1:14" ht="17.25" customHeight="1">
      <c r="A71" s="64"/>
      <c r="B71" s="109"/>
      <c r="C71" s="109"/>
      <c r="D71" s="109"/>
      <c r="E71" s="109"/>
      <c r="F71" s="140"/>
      <c r="G71" s="127"/>
      <c r="H71" s="127"/>
      <c r="I71" s="387"/>
      <c r="J71" s="377"/>
      <c r="K71" s="378"/>
    </row>
    <row r="72" spans="1:14" ht="14.25">
      <c r="A72" s="86"/>
      <c r="B72" s="280" t="s">
        <v>452</v>
      </c>
      <c r="C72" s="109"/>
      <c r="D72" s="109"/>
      <c r="E72" s="109"/>
      <c r="F72" s="142"/>
      <c r="G72" s="74"/>
      <c r="H72" s="138"/>
      <c r="I72" s="387"/>
      <c r="J72" s="130"/>
      <c r="K72" s="66"/>
    </row>
    <row r="73" spans="1:14" s="13" customFormat="1" ht="20.25" customHeight="1">
      <c r="A73" s="64"/>
      <c r="B73" s="756"/>
      <c r="C73" s="756"/>
      <c r="D73" s="756"/>
      <c r="E73" s="756"/>
      <c r="F73" s="140" t="s">
        <v>211</v>
      </c>
      <c r="G73" s="359"/>
      <c r="H73" s="359"/>
      <c r="I73" s="385" t="s">
        <v>54</v>
      </c>
      <c r="J73" s="757" t="s">
        <v>25</v>
      </c>
      <c r="K73" s="758"/>
      <c r="N73" s="17"/>
    </row>
    <row r="74" spans="1:14" s="13" customFormat="1" ht="14.25" customHeight="1">
      <c r="A74" s="64"/>
      <c r="B74" s="65"/>
      <c r="C74" s="65"/>
      <c r="D74" s="65"/>
      <c r="E74" s="65"/>
      <c r="F74" s="82"/>
      <c r="G74" s="89"/>
      <c r="H74" s="144"/>
      <c r="I74" s="389"/>
      <c r="J74" s="65"/>
      <c r="K74" s="66"/>
      <c r="N74" s="17"/>
    </row>
    <row r="75" spans="1:14" s="13" customFormat="1" ht="14.25" customHeight="1">
      <c r="A75" s="64"/>
      <c r="B75" s="143"/>
      <c r="C75" s="65"/>
      <c r="D75" s="65"/>
      <c r="E75" s="65"/>
      <c r="F75" s="89"/>
      <c r="G75" s="89"/>
      <c r="H75" s="144"/>
      <c r="I75" s="389"/>
      <c r="J75" s="65"/>
      <c r="K75" s="66"/>
      <c r="N75" s="17"/>
    </row>
    <row r="76" spans="1:14" s="13" customFormat="1" ht="14.25" customHeight="1">
      <c r="A76" s="64"/>
      <c r="B76" s="65" t="s">
        <v>90</v>
      </c>
      <c r="C76" s="65"/>
      <c r="D76" s="65"/>
      <c r="E76" s="65"/>
      <c r="F76" s="89"/>
      <c r="G76" s="127"/>
      <c r="H76" s="127"/>
      <c r="I76" s="389"/>
      <c r="J76" s="65"/>
      <c r="K76" s="66"/>
      <c r="N76" s="17"/>
    </row>
    <row r="77" spans="1:14" ht="14.25" customHeight="1">
      <c r="A77" s="86"/>
      <c r="B77" s="65"/>
      <c r="C77" s="381"/>
      <c r="D77" s="381"/>
      <c r="E77" s="381"/>
      <c r="F77" s="74"/>
      <c r="G77" s="72"/>
      <c r="H77" s="72"/>
      <c r="I77" s="72"/>
      <c r="J77" s="72"/>
      <c r="K77" s="66"/>
    </row>
    <row r="78" spans="1:14" ht="14.25" customHeight="1">
      <c r="A78" s="86"/>
      <c r="B78" s="72"/>
      <c r="C78" s="72"/>
      <c r="D78" s="72"/>
      <c r="E78" s="72"/>
      <c r="F78" s="74"/>
      <c r="G78" s="74"/>
      <c r="H78" s="74"/>
      <c r="I78" s="74"/>
      <c r="J78" s="65"/>
      <c r="K78" s="66"/>
    </row>
    <row r="79" spans="1:14" ht="14.25" customHeight="1">
      <c r="A79" s="86"/>
      <c r="B79" s="72"/>
      <c r="C79" s="72"/>
      <c r="D79" s="72"/>
      <c r="E79" s="72"/>
      <c r="F79" s="74"/>
      <c r="G79" s="74"/>
      <c r="H79" s="74"/>
      <c r="I79" s="74"/>
      <c r="J79" s="65"/>
      <c r="K79" s="66"/>
    </row>
    <row r="80" spans="1:14" ht="14.25" customHeight="1">
      <c r="A80" s="86"/>
      <c r="B80" s="72"/>
      <c r="C80" s="72"/>
      <c r="D80" s="72"/>
      <c r="E80" s="72"/>
      <c r="F80" s="74"/>
      <c r="G80" s="74"/>
      <c r="H80" s="74"/>
      <c r="I80" s="74"/>
      <c r="J80" s="65"/>
      <c r="K80" s="66"/>
    </row>
    <row r="81" spans="1:11" ht="14.25" customHeight="1">
      <c r="A81" s="86"/>
      <c r="B81" s="72"/>
      <c r="C81" s="72"/>
      <c r="D81" s="72"/>
      <c r="E81" s="72"/>
      <c r="F81" s="74"/>
      <c r="G81" s="74"/>
      <c r="H81" s="74"/>
      <c r="I81" s="74"/>
      <c r="J81" s="65"/>
      <c r="K81" s="66"/>
    </row>
    <row r="82" spans="1:11" ht="14.25" customHeight="1">
      <c r="A82" s="86"/>
      <c r="B82" s="72"/>
      <c r="C82" s="72"/>
      <c r="D82" s="72"/>
      <c r="E82" s="72"/>
      <c r="F82" s="74"/>
      <c r="G82" s="74"/>
      <c r="H82" s="74"/>
      <c r="I82" s="74"/>
      <c r="J82" s="65"/>
      <c r="K82" s="66"/>
    </row>
    <row r="83" spans="1:11" ht="14.25" customHeight="1">
      <c r="A83" s="86"/>
      <c r="B83" s="72"/>
      <c r="C83" s="72"/>
      <c r="D83" s="72"/>
      <c r="E83" s="72"/>
      <c r="F83" s="74"/>
      <c r="G83" s="74"/>
      <c r="H83" s="74"/>
      <c r="I83" s="74"/>
      <c r="J83" s="65"/>
      <c r="K83" s="66"/>
    </row>
    <row r="84" spans="1:11" ht="14.25" customHeight="1">
      <c r="A84" s="86"/>
      <c r="B84" s="72"/>
      <c r="C84" s="74"/>
      <c r="D84" s="74"/>
      <c r="E84" s="74"/>
      <c r="F84" s="72"/>
      <c r="G84" s="72"/>
      <c r="H84" s="72"/>
      <c r="I84" s="72"/>
      <c r="J84" s="65"/>
      <c r="K84" s="66"/>
    </row>
    <row r="85" spans="1:11" ht="15" customHeight="1">
      <c r="A85" s="86"/>
      <c r="B85" s="72"/>
      <c r="C85" s="74"/>
      <c r="D85" s="74"/>
      <c r="E85" s="74"/>
      <c r="F85" s="72"/>
      <c r="G85" s="72"/>
      <c r="H85" s="72"/>
      <c r="I85" s="72"/>
      <c r="J85" s="65"/>
      <c r="K85" s="66"/>
    </row>
    <row r="86" spans="1:11" ht="15" customHeight="1">
      <c r="A86" s="86"/>
      <c r="B86" s="72"/>
      <c r="C86" s="74"/>
      <c r="D86" s="74"/>
      <c r="E86" s="74"/>
      <c r="F86" s="72"/>
      <c r="G86" s="72"/>
      <c r="H86" s="72"/>
      <c r="I86" s="72"/>
      <c r="J86" s="65"/>
      <c r="K86" s="66"/>
    </row>
    <row r="87" spans="1:11" ht="15" customHeight="1">
      <c r="A87" s="86"/>
      <c r="B87" s="72"/>
      <c r="C87" s="74"/>
      <c r="D87" s="74"/>
      <c r="E87" s="74"/>
      <c r="F87" s="72"/>
      <c r="G87" s="72"/>
      <c r="H87" s="72"/>
      <c r="I87" s="72"/>
      <c r="J87" s="65"/>
      <c r="K87" s="66"/>
    </row>
    <row r="88" spans="1:11" ht="15" customHeight="1">
      <c r="A88" s="86"/>
      <c r="B88" s="72"/>
      <c r="C88" s="74"/>
      <c r="D88" s="74"/>
      <c r="E88" s="74"/>
      <c r="F88" s="72"/>
      <c r="G88" s="72"/>
      <c r="H88" s="72"/>
      <c r="I88" s="72"/>
      <c r="J88" s="65"/>
      <c r="K88" s="66"/>
    </row>
    <row r="89" spans="1:11" ht="15" customHeight="1">
      <c r="A89" s="86"/>
      <c r="B89" s="72"/>
      <c r="C89" s="74"/>
      <c r="D89" s="74"/>
      <c r="E89" s="74"/>
      <c r="F89" s="72"/>
      <c r="G89" s="72"/>
      <c r="H89" s="72"/>
      <c r="I89" s="72"/>
      <c r="J89" s="65"/>
      <c r="K89" s="66"/>
    </row>
    <row r="90" spans="1:11" ht="15" customHeight="1">
      <c r="A90" s="86"/>
      <c r="B90" s="72"/>
      <c r="C90" s="74"/>
      <c r="D90" s="74"/>
      <c r="E90" s="74"/>
      <c r="F90" s="72"/>
      <c r="G90" s="72"/>
      <c r="H90" s="72"/>
      <c r="I90" s="72"/>
      <c r="J90" s="65"/>
      <c r="K90" s="66"/>
    </row>
    <row r="91" spans="1:11" ht="15" customHeight="1">
      <c r="A91" s="86"/>
      <c r="B91" s="72"/>
      <c r="C91" s="74"/>
      <c r="D91" s="74"/>
      <c r="E91" s="74"/>
      <c r="F91" s="72"/>
      <c r="G91" s="72"/>
      <c r="H91" s="72"/>
      <c r="I91" s="72"/>
      <c r="J91" s="65"/>
      <c r="K91" s="66"/>
    </row>
    <row r="92" spans="1:11" ht="15" customHeight="1">
      <c r="A92" s="86"/>
      <c r="B92" s="72"/>
      <c r="C92" s="74"/>
      <c r="D92" s="74"/>
      <c r="E92" s="74"/>
      <c r="F92" s="72"/>
      <c r="G92" s="72"/>
      <c r="H92" s="72"/>
      <c r="I92" s="72"/>
      <c r="J92" s="65"/>
      <c r="K92" s="66"/>
    </row>
    <row r="93" spans="1:11" ht="15" customHeight="1">
      <c r="A93" s="86"/>
      <c r="B93" s="72"/>
      <c r="C93" s="74"/>
      <c r="D93" s="74"/>
      <c r="E93" s="74"/>
      <c r="F93" s="72"/>
      <c r="G93" s="72"/>
      <c r="H93" s="72"/>
      <c r="I93" s="72"/>
      <c r="J93" s="65"/>
      <c r="K93" s="66"/>
    </row>
    <row r="94" spans="1:11" ht="15" customHeight="1">
      <c r="A94" s="86"/>
      <c r="B94" s="72"/>
      <c r="C94" s="74"/>
      <c r="D94" s="74"/>
      <c r="E94" s="74"/>
      <c r="F94" s="72"/>
      <c r="G94" s="72"/>
      <c r="H94" s="72"/>
      <c r="I94" s="72"/>
      <c r="J94" s="65"/>
      <c r="K94" s="66"/>
    </row>
    <row r="95" spans="1:11" ht="15" customHeight="1">
      <c r="A95" s="86"/>
      <c r="B95" s="72"/>
      <c r="C95" s="74"/>
      <c r="D95" s="74"/>
      <c r="E95" s="74"/>
      <c r="F95" s="72"/>
      <c r="G95" s="72"/>
      <c r="H95" s="72"/>
      <c r="I95" s="72"/>
      <c r="J95" s="65"/>
      <c r="K95" s="66"/>
    </row>
    <row r="96" spans="1:11" ht="15" customHeight="1">
      <c r="A96" s="86"/>
      <c r="B96" s="72"/>
      <c r="C96" s="74"/>
      <c r="D96" s="74"/>
      <c r="E96" s="74"/>
      <c r="F96" s="72"/>
      <c r="G96" s="72"/>
      <c r="H96" s="72"/>
      <c r="I96" s="72"/>
      <c r="J96" s="65"/>
      <c r="K96" s="66"/>
    </row>
    <row r="97" spans="1:11" ht="15" customHeight="1">
      <c r="A97" s="86"/>
      <c r="B97" s="72"/>
      <c r="C97" s="74"/>
      <c r="D97" s="74"/>
      <c r="E97" s="74"/>
      <c r="F97" s="72"/>
      <c r="G97" s="72"/>
      <c r="H97" s="72"/>
      <c r="I97" s="72"/>
      <c r="J97" s="65"/>
      <c r="K97" s="66"/>
    </row>
    <row r="98" spans="1:11" ht="15" customHeight="1">
      <c r="A98" s="86"/>
      <c r="B98" s="72"/>
      <c r="C98" s="74"/>
      <c r="D98" s="74"/>
      <c r="E98" s="74"/>
      <c r="F98" s="72"/>
      <c r="G98" s="72"/>
      <c r="H98" s="72"/>
      <c r="I98" s="72"/>
      <c r="J98" s="65"/>
      <c r="K98" s="66"/>
    </row>
    <row r="99" spans="1:11" ht="15" customHeight="1">
      <c r="A99" s="86"/>
      <c r="B99" s="72"/>
      <c r="C99" s="74"/>
      <c r="D99" s="74"/>
      <c r="E99" s="74"/>
      <c r="F99" s="72"/>
      <c r="G99" s="72"/>
      <c r="H99" s="72"/>
      <c r="I99" s="72"/>
      <c r="J99" s="65"/>
      <c r="K99" s="66"/>
    </row>
    <row r="100" spans="1:11" ht="15" customHeight="1">
      <c r="A100" s="86"/>
      <c r="B100" s="72"/>
      <c r="C100" s="74"/>
      <c r="D100" s="74"/>
      <c r="E100" s="74"/>
      <c r="F100" s="72"/>
      <c r="G100" s="72"/>
      <c r="H100" s="72"/>
      <c r="I100" s="72"/>
      <c r="J100" s="65"/>
      <c r="K100" s="66"/>
    </row>
    <row r="101" spans="1:11" ht="15" customHeight="1">
      <c r="A101" s="86"/>
      <c r="B101" s="72"/>
      <c r="C101" s="74"/>
      <c r="D101" s="74"/>
      <c r="E101" s="74"/>
      <c r="F101" s="72"/>
      <c r="G101" s="72"/>
      <c r="H101" s="72"/>
      <c r="I101" s="72"/>
      <c r="J101" s="65"/>
      <c r="K101" s="66"/>
    </row>
    <row r="102" spans="1:11" ht="15" customHeight="1">
      <c r="A102" s="86"/>
      <c r="B102" s="72"/>
      <c r="C102" s="74"/>
      <c r="D102" s="74"/>
      <c r="E102" s="74"/>
      <c r="F102" s="72"/>
      <c r="G102" s="72"/>
      <c r="H102" s="72"/>
      <c r="I102" s="72"/>
      <c r="J102" s="65"/>
      <c r="K102" s="66"/>
    </row>
    <row r="103" spans="1:11" ht="15" customHeight="1">
      <c r="A103" s="86"/>
      <c r="B103" s="72"/>
      <c r="C103" s="74"/>
      <c r="D103" s="74"/>
      <c r="E103" s="74"/>
      <c r="F103" s="72"/>
      <c r="G103" s="72"/>
      <c r="H103" s="72"/>
      <c r="I103" s="72"/>
      <c r="J103" s="65"/>
      <c r="K103" s="66"/>
    </row>
    <row r="104" spans="1:11" ht="15" customHeight="1">
      <c r="A104" s="86"/>
      <c r="B104" s="72"/>
      <c r="C104" s="74"/>
      <c r="D104" s="74"/>
      <c r="E104" s="74"/>
      <c r="F104" s="72"/>
      <c r="G104" s="72"/>
      <c r="H104" s="72"/>
      <c r="I104" s="72"/>
      <c r="J104" s="65"/>
      <c r="K104" s="66"/>
    </row>
    <row r="105" spans="1:11" ht="15" customHeight="1">
      <c r="A105" s="86"/>
      <c r="B105" s="72"/>
      <c r="C105" s="74"/>
      <c r="D105" s="74"/>
      <c r="E105" s="74"/>
      <c r="F105" s="72"/>
      <c r="G105" s="72"/>
      <c r="H105" s="72"/>
      <c r="I105" s="72"/>
      <c r="J105" s="65"/>
      <c r="K105" s="66"/>
    </row>
    <row r="106" spans="1:11" ht="15" customHeight="1">
      <c r="A106" s="86"/>
      <c r="B106" s="72"/>
      <c r="C106" s="74"/>
      <c r="D106" s="74"/>
      <c r="E106" s="74"/>
      <c r="F106" s="72"/>
      <c r="G106" s="72"/>
      <c r="H106" s="72"/>
      <c r="I106" s="72"/>
      <c r="J106" s="65"/>
      <c r="K106" s="66"/>
    </row>
    <row r="107" spans="1:11" s="13" customFormat="1" ht="15" customHeight="1" thickBot="1">
      <c r="A107" s="94"/>
      <c r="B107" s="96"/>
      <c r="C107" s="96"/>
      <c r="D107" s="96"/>
      <c r="E107" s="96"/>
      <c r="F107" s="96"/>
      <c r="G107" s="96"/>
      <c r="H107" s="96"/>
      <c r="I107" s="96"/>
      <c r="J107" s="96"/>
      <c r="K107" s="102"/>
    </row>
    <row r="108" spans="1:11" ht="9" customHeight="1"/>
  </sheetData>
  <sheetProtection password="CC9A" sheet="1" objects="1" scenarios="1" formatCells="0" formatRows="0" insertRows="0" deleteRows="0"/>
  <mergeCells count="54">
    <mergeCell ref="B16:C16"/>
    <mergeCell ref="J49:K49"/>
    <mergeCell ref="L3:M3"/>
    <mergeCell ref="B64:G64"/>
    <mergeCell ref="B19:E19"/>
    <mergeCell ref="J19:K19"/>
    <mergeCell ref="J30:K30"/>
    <mergeCell ref="B49:E49"/>
    <mergeCell ref="J50:K50"/>
    <mergeCell ref="B9:J15"/>
    <mergeCell ref="J53:K53"/>
    <mergeCell ref="J29:K29"/>
    <mergeCell ref="J28:K28"/>
    <mergeCell ref="J32:K32"/>
    <mergeCell ref="J23:K23"/>
    <mergeCell ref="B18:E18"/>
    <mergeCell ref="A2:K2"/>
    <mergeCell ref="B4:F4"/>
    <mergeCell ref="H4:K4"/>
    <mergeCell ref="B5:B6"/>
    <mergeCell ref="H5:H6"/>
    <mergeCell ref="E5:F6"/>
    <mergeCell ref="C5:D5"/>
    <mergeCell ref="B3:H3"/>
    <mergeCell ref="I3:K3"/>
    <mergeCell ref="J5:J6"/>
    <mergeCell ref="C6:D6"/>
    <mergeCell ref="B27:E27"/>
    <mergeCell ref="J18:K18"/>
    <mergeCell ref="J38:K38"/>
    <mergeCell ref="J27:K27"/>
    <mergeCell ref="J34:K34"/>
    <mergeCell ref="J21:K21"/>
    <mergeCell ref="B48:D48"/>
    <mergeCell ref="J48:K48"/>
    <mergeCell ref="B41:F41"/>
    <mergeCell ref="B50:E50"/>
    <mergeCell ref="B51:E51"/>
    <mergeCell ref="J51:K51"/>
    <mergeCell ref="J41:K41"/>
    <mergeCell ref="B43:G43"/>
    <mergeCell ref="B52:E52"/>
    <mergeCell ref="B58:H58"/>
    <mergeCell ref="I58:K58"/>
    <mergeCell ref="A57:K57"/>
    <mergeCell ref="B53:E53"/>
    <mergeCell ref="J52:K52"/>
    <mergeCell ref="L58:M58"/>
    <mergeCell ref="B59:F59"/>
    <mergeCell ref="H59:K59"/>
    <mergeCell ref="B73:E73"/>
    <mergeCell ref="J73:K73"/>
    <mergeCell ref="D61:F61"/>
    <mergeCell ref="J70:K70"/>
  </mergeCells>
  <phoneticPr fontId="3"/>
  <conditionalFormatting sqref="H25 H36:H37">
    <cfRule type="cellIs" dxfId="10" priority="7" stopIfTrue="1" operator="greaterThan">
      <formula>0.1</formula>
    </cfRule>
  </conditionalFormatting>
  <dataValidations count="1">
    <dataValidation type="list" allowBlank="1" showInputMessage="1" showErrorMessage="1" sqref="G61">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2" manualBreakCount="2">
    <brk id="55" max="10" man="1"/>
    <brk id="10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06"/>
  <sheetViews>
    <sheetView view="pageBreakPreview" zoomScaleNormal="100" zoomScaleSheetLayoutView="100" workbookViewId="0">
      <selection activeCell="C5" sqref="C5:D5"/>
    </sheetView>
  </sheetViews>
  <sheetFormatPr defaultColWidth="9" defaultRowHeight="13.5"/>
  <cols>
    <col min="1" max="1" width="6.125" style="12" customWidth="1"/>
    <col min="2" max="2" width="9" style="12" customWidth="1"/>
    <col min="3" max="3" width="14" style="12" customWidth="1"/>
    <col min="4" max="4" width="20" style="12" customWidth="1"/>
    <col min="5" max="5" width="7.625" style="12" customWidth="1"/>
    <col min="6" max="7" width="8.625" style="12" customWidth="1"/>
    <col min="8" max="8" width="6.375" style="12" customWidth="1"/>
    <col min="9" max="9" width="4.25" style="12" customWidth="1"/>
    <col min="10" max="10" width="5.875" style="12" customWidth="1"/>
    <col min="11" max="11" width="11.375" style="12" customWidth="1"/>
    <col min="12" max="16384" width="9" style="12"/>
  </cols>
  <sheetData>
    <row r="1" spans="1:13" ht="15" customHeight="1" thickBot="1">
      <c r="A1" s="107"/>
      <c r="B1" s="107"/>
      <c r="C1" s="107"/>
      <c r="D1" s="107"/>
      <c r="E1" s="107"/>
      <c r="F1" s="107"/>
      <c r="G1" s="107"/>
      <c r="H1" s="107"/>
      <c r="I1" s="107"/>
      <c r="J1" s="107"/>
    </row>
    <row r="2" spans="1:13" s="13" customFormat="1" ht="18.75" customHeight="1" thickBot="1">
      <c r="A2" s="732" t="s">
        <v>167</v>
      </c>
      <c r="B2" s="733"/>
      <c r="C2" s="733"/>
      <c r="D2" s="733"/>
      <c r="E2" s="733"/>
      <c r="F2" s="733"/>
      <c r="G2" s="733"/>
      <c r="H2" s="733"/>
      <c r="I2" s="733"/>
      <c r="J2" s="734"/>
    </row>
    <row r="3" spans="1:13" s="13" customFormat="1" ht="28.5" customHeight="1" thickTop="1">
      <c r="A3" s="14" t="s">
        <v>179</v>
      </c>
      <c r="B3" s="711" t="str">
        <f>+表紙!B3&amp;"　　（３．立上り性能）"</f>
        <v>アンダーカウンター洗浄機、ドアタイプ洗浄機（選択してください）　　（３．立上り性能）</v>
      </c>
      <c r="C3" s="712"/>
      <c r="D3" s="712"/>
      <c r="E3" s="712"/>
      <c r="F3" s="712"/>
      <c r="G3" s="745"/>
      <c r="H3" s="712" t="str">
        <f>"ガス種："&amp;表紙!$I$11</f>
        <v>ガス種：(選択して下さい)</v>
      </c>
      <c r="I3" s="712"/>
      <c r="J3" s="779"/>
    </row>
    <row r="4" spans="1:13" s="13" customFormat="1" ht="18" customHeight="1" thickBot="1">
      <c r="A4" s="15" t="s">
        <v>378</v>
      </c>
      <c r="B4" s="720" t="str">
        <f>IF(表紙!$B$6=0,"",表紙!$B$6)</f>
        <v/>
      </c>
      <c r="C4" s="720"/>
      <c r="D4" s="720"/>
      <c r="E4" s="722"/>
      <c r="F4" s="374" t="s">
        <v>3</v>
      </c>
      <c r="G4" s="725" t="str">
        <f>IF(表紙!$H$5=0,"",表紙!$H$5)</f>
        <v/>
      </c>
      <c r="H4" s="726"/>
      <c r="I4" s="726"/>
      <c r="J4" s="727"/>
    </row>
    <row r="5" spans="1:13" s="13" customFormat="1" ht="15.75" customHeight="1">
      <c r="A5" s="283" t="s">
        <v>27</v>
      </c>
      <c r="B5" s="765" t="s">
        <v>35</v>
      </c>
      <c r="C5" s="768"/>
      <c r="D5" s="782"/>
      <c r="E5" s="765" t="s">
        <v>70</v>
      </c>
      <c r="F5" s="284"/>
      <c r="G5" s="765" t="s">
        <v>36</v>
      </c>
      <c r="H5" s="284"/>
      <c r="I5" s="770" t="s">
        <v>69</v>
      </c>
      <c r="J5" s="10"/>
    </row>
    <row r="6" spans="1:13" s="13" customFormat="1" ht="15.75" customHeight="1" thickBot="1">
      <c r="A6" s="285" t="s">
        <v>28</v>
      </c>
      <c r="B6" s="608"/>
      <c r="C6" s="780"/>
      <c r="D6" s="781"/>
      <c r="E6" s="608"/>
      <c r="F6" s="286"/>
      <c r="G6" s="608"/>
      <c r="H6" s="286"/>
      <c r="I6" s="771"/>
      <c r="J6" s="11"/>
      <c r="L6" s="42"/>
    </row>
    <row r="7" spans="1:13" s="13" customFormat="1" ht="6.6" customHeight="1">
      <c r="A7" s="80"/>
      <c r="B7" s="111"/>
      <c r="C7" s="112"/>
      <c r="D7" s="112"/>
      <c r="E7" s="139"/>
      <c r="F7" s="146"/>
      <c r="G7" s="111"/>
      <c r="H7" s="146"/>
      <c r="I7" s="139"/>
      <c r="J7" s="150"/>
      <c r="L7" s="42"/>
    </row>
    <row r="8" spans="1:13" s="13" customFormat="1" ht="18" customHeight="1" thickBot="1">
      <c r="A8" s="64"/>
      <c r="B8" s="117" t="s">
        <v>104</v>
      </c>
      <c r="C8" s="96"/>
      <c r="D8" s="96"/>
      <c r="E8" s="96"/>
      <c r="F8" s="65"/>
      <c r="G8" s="118" t="str">
        <f>IF(表紙!G16="A.立上り時の給湯が洗浄タンクに直接入る場合","記入不要","")</f>
        <v/>
      </c>
      <c r="H8" s="65"/>
      <c r="I8" s="65"/>
      <c r="J8" s="66"/>
    </row>
    <row r="9" spans="1:13" s="13" customFormat="1" ht="16.899999999999999" customHeight="1">
      <c r="A9" s="64"/>
      <c r="B9" s="777" t="s">
        <v>384</v>
      </c>
      <c r="C9" s="777"/>
      <c r="D9" s="777"/>
      <c r="E9" s="777"/>
      <c r="F9" s="777"/>
      <c r="G9" s="777"/>
      <c r="H9" s="777"/>
      <c r="I9" s="777"/>
      <c r="J9" s="66"/>
    </row>
    <row r="10" spans="1:13" s="13" customFormat="1" ht="16.899999999999999" customHeight="1">
      <c r="A10" s="64"/>
      <c r="B10" s="777"/>
      <c r="C10" s="777"/>
      <c r="D10" s="777"/>
      <c r="E10" s="777"/>
      <c r="F10" s="777"/>
      <c r="G10" s="777"/>
      <c r="H10" s="777"/>
      <c r="I10" s="777"/>
      <c r="J10" s="66"/>
      <c r="M10" s="13" t="str">
        <f>表紙!G16</f>
        <v>（選択してください）</v>
      </c>
    </row>
    <row r="11" spans="1:13" s="13" customFormat="1" ht="16.899999999999999" customHeight="1">
      <c r="A11" s="64"/>
      <c r="B11" s="777"/>
      <c r="C11" s="777"/>
      <c r="D11" s="777"/>
      <c r="E11" s="777"/>
      <c r="F11" s="777"/>
      <c r="G11" s="777"/>
      <c r="H11" s="777"/>
      <c r="I11" s="777"/>
      <c r="J11" s="66"/>
      <c r="M11" s="13" t="str">
        <f>IF(M10="B.給湯(標準温度:60℃)を接続し、立上り時の給湯が仕上げすすぎﾀﾝｸに入る場合",""," 別のシートを使用してください")</f>
        <v xml:space="preserve"> 別のシートを使用してください</v>
      </c>
    </row>
    <row r="12" spans="1:13" s="13" customFormat="1" ht="16.899999999999999" customHeight="1">
      <c r="A12" s="64"/>
      <c r="B12" s="777"/>
      <c r="C12" s="777"/>
      <c r="D12" s="777"/>
      <c r="E12" s="777"/>
      <c r="F12" s="777"/>
      <c r="G12" s="777"/>
      <c r="H12" s="777"/>
      <c r="I12" s="777"/>
      <c r="J12" s="66"/>
    </row>
    <row r="13" spans="1:13" s="13" customFormat="1" ht="16.899999999999999" customHeight="1">
      <c r="A13" s="64"/>
      <c r="B13" s="777"/>
      <c r="C13" s="777"/>
      <c r="D13" s="777"/>
      <c r="E13" s="777"/>
      <c r="F13" s="777"/>
      <c r="G13" s="777"/>
      <c r="H13" s="777"/>
      <c r="I13" s="777"/>
      <c r="J13" s="66"/>
    </row>
    <row r="14" spans="1:13" s="13" customFormat="1" ht="16.899999999999999" customHeight="1">
      <c r="A14" s="64"/>
      <c r="B14" s="777"/>
      <c r="C14" s="777"/>
      <c r="D14" s="777"/>
      <c r="E14" s="777"/>
      <c r="F14" s="777"/>
      <c r="G14" s="777"/>
      <c r="H14" s="777"/>
      <c r="I14" s="777"/>
      <c r="J14" s="66"/>
    </row>
    <row r="15" spans="1:13" s="13" customFormat="1" ht="16.899999999999999" customHeight="1">
      <c r="A15" s="64"/>
      <c r="B15" s="777"/>
      <c r="C15" s="777"/>
      <c r="D15" s="777"/>
      <c r="E15" s="777"/>
      <c r="F15" s="777"/>
      <c r="G15" s="777"/>
      <c r="H15" s="777"/>
      <c r="I15" s="777"/>
      <c r="J15" s="66"/>
    </row>
    <row r="16" spans="1:13" s="13" customFormat="1" ht="21" customHeight="1">
      <c r="A16" s="64"/>
      <c r="B16" s="123" t="s">
        <v>102</v>
      </c>
      <c r="C16" s="123"/>
      <c r="D16" s="74"/>
      <c r="E16" s="74"/>
      <c r="F16" s="192" t="s">
        <v>27</v>
      </c>
      <c r="G16" s="192" t="s">
        <v>28</v>
      </c>
      <c r="H16" s="65"/>
      <c r="I16" s="65"/>
      <c r="J16" s="66"/>
    </row>
    <row r="17" spans="1:13" s="13" customFormat="1" ht="17.25" customHeight="1">
      <c r="A17" s="64"/>
      <c r="B17" s="389" t="s">
        <v>213</v>
      </c>
      <c r="C17" s="65"/>
      <c r="D17" s="65"/>
      <c r="E17" s="119" t="s">
        <v>392</v>
      </c>
      <c r="F17" s="303"/>
      <c r="G17" s="303"/>
      <c r="H17" s="129" t="s">
        <v>26</v>
      </c>
      <c r="I17" s="757" t="s">
        <v>29</v>
      </c>
      <c r="J17" s="758"/>
    </row>
    <row r="18" spans="1:13" s="13" customFormat="1" ht="17.25" customHeight="1">
      <c r="A18" s="64"/>
      <c r="B18" s="147" t="s">
        <v>214</v>
      </c>
      <c r="C18" s="278"/>
      <c r="D18" s="278"/>
      <c r="E18" s="119" t="s">
        <v>206</v>
      </c>
      <c r="F18" s="314"/>
      <c r="G18" s="314"/>
      <c r="H18" s="129" t="s">
        <v>53</v>
      </c>
      <c r="I18" s="757" t="s">
        <v>29</v>
      </c>
      <c r="J18" s="758"/>
    </row>
    <row r="19" spans="1:13" s="13" customFormat="1" ht="17.25" customHeight="1">
      <c r="A19" s="64"/>
      <c r="B19" s="381" t="s">
        <v>386</v>
      </c>
      <c r="C19" s="109"/>
      <c r="D19" s="109"/>
      <c r="E19" s="119" t="s">
        <v>385</v>
      </c>
      <c r="F19" s="304"/>
      <c r="G19" s="304"/>
      <c r="H19" s="387" t="s">
        <v>17</v>
      </c>
      <c r="I19" s="757" t="s">
        <v>24</v>
      </c>
      <c r="J19" s="758"/>
    </row>
    <row r="20" spans="1:13" s="43" customFormat="1" ht="6" customHeight="1" thickBot="1">
      <c r="A20" s="64"/>
      <c r="B20" s="71"/>
      <c r="C20" s="71"/>
      <c r="D20" s="71"/>
      <c r="E20" s="119"/>
      <c r="F20" s="132"/>
      <c r="G20" s="132"/>
      <c r="H20" s="129"/>
      <c r="I20" s="387"/>
      <c r="J20" s="151"/>
    </row>
    <row r="21" spans="1:13" s="43" customFormat="1" ht="17.25" customHeight="1" thickBot="1">
      <c r="A21" s="64"/>
      <c r="B21" s="389" t="s">
        <v>215</v>
      </c>
      <c r="C21" s="71"/>
      <c r="D21" s="71"/>
      <c r="E21" s="120" t="s">
        <v>207</v>
      </c>
      <c r="F21" s="305" t="str">
        <f>IF(F18&lt;&gt;"",+F18,"")</f>
        <v/>
      </c>
      <c r="G21" s="305" t="str">
        <f>IF(G18&lt;&gt;"",+G18,"")</f>
        <v/>
      </c>
      <c r="H21" s="129" t="s">
        <v>53</v>
      </c>
      <c r="I21" s="757" t="s">
        <v>29</v>
      </c>
      <c r="J21" s="758"/>
    </row>
    <row r="22" spans="1:13" s="13" customFormat="1" ht="6" customHeight="1" thickBot="1">
      <c r="A22" s="64"/>
      <c r="B22" s="71"/>
      <c r="C22" s="71"/>
      <c r="D22" s="71"/>
      <c r="E22" s="119"/>
      <c r="F22" s="132"/>
      <c r="G22" s="132"/>
      <c r="H22" s="129"/>
      <c r="I22" s="387"/>
      <c r="J22" s="151"/>
    </row>
    <row r="23" spans="1:13" ht="20.25" customHeight="1" thickBot="1">
      <c r="A23" s="86"/>
      <c r="B23" s="145" t="s">
        <v>387</v>
      </c>
      <c r="C23" s="147"/>
      <c r="D23" s="71"/>
      <c r="E23" s="82"/>
      <c r="F23" s="121" t="s">
        <v>217</v>
      </c>
      <c r="G23" s="347" t="str">
        <f>IF(COUNTBLANK(F21:G21)=0,(F21+G21)/2,"")</f>
        <v/>
      </c>
      <c r="H23" s="129" t="s">
        <v>26</v>
      </c>
      <c r="I23" s="757" t="s">
        <v>29</v>
      </c>
      <c r="J23" s="758"/>
    </row>
    <row r="24" spans="1:13" ht="6" customHeight="1" thickBot="1">
      <c r="A24" s="86"/>
      <c r="B24" s="71"/>
      <c r="C24" s="71"/>
      <c r="D24" s="71"/>
      <c r="E24" s="121"/>
      <c r="F24" s="132"/>
      <c r="G24" s="39"/>
      <c r="H24" s="129"/>
      <c r="I24" s="387"/>
      <c r="J24" s="151"/>
    </row>
    <row r="25" spans="1:13" ht="17.25" customHeight="1" thickBot="1">
      <c r="A25" s="86"/>
      <c r="B25" s="71"/>
      <c r="C25" s="71"/>
      <c r="D25" s="71"/>
      <c r="E25" s="121"/>
      <c r="F25" s="132" t="s">
        <v>33</v>
      </c>
      <c r="G25" s="306" t="str">
        <f>IF(G23&lt;&gt;"",ABS(F21-G21)/G23,"")</f>
        <v/>
      </c>
      <c r="H25" s="393" t="s">
        <v>506</v>
      </c>
      <c r="I25" s="387"/>
      <c r="J25" s="151"/>
    </row>
    <row r="26" spans="1:13" s="13" customFormat="1" ht="21" customHeight="1">
      <c r="A26" s="64"/>
      <c r="B26" s="123" t="s">
        <v>12</v>
      </c>
      <c r="C26" s="123"/>
      <c r="D26" s="124"/>
      <c r="E26" s="89"/>
      <c r="F26" s="89"/>
      <c r="G26" s="134"/>
      <c r="H26" s="129"/>
      <c r="I26" s="152"/>
      <c r="J26" s="151"/>
    </row>
    <row r="27" spans="1:13" s="13" customFormat="1" ht="17.25" customHeight="1">
      <c r="A27" s="64"/>
      <c r="B27" s="381" t="s">
        <v>218</v>
      </c>
      <c r="C27" s="109"/>
      <c r="D27" s="109"/>
      <c r="E27" s="119" t="s">
        <v>208</v>
      </c>
      <c r="F27" s="314"/>
      <c r="G27" s="314"/>
      <c r="H27" s="129" t="s">
        <v>67</v>
      </c>
      <c r="I27" s="757" t="s">
        <v>29</v>
      </c>
      <c r="J27" s="758"/>
      <c r="M27" s="28"/>
    </row>
    <row r="28" spans="1:13" s="13" customFormat="1" ht="17.25" customHeight="1">
      <c r="A28" s="64"/>
      <c r="B28" s="65" t="s">
        <v>336</v>
      </c>
      <c r="C28" s="65"/>
      <c r="D28" s="65"/>
      <c r="E28" s="82" t="s">
        <v>335</v>
      </c>
      <c r="F28" s="315"/>
      <c r="G28" s="315"/>
      <c r="H28" s="129" t="s">
        <v>17</v>
      </c>
      <c r="I28" s="757" t="s">
        <v>24</v>
      </c>
      <c r="J28" s="758"/>
      <c r="K28" s="40"/>
    </row>
    <row r="29" spans="1:13" s="13" customFormat="1" ht="17.25" customHeight="1">
      <c r="A29" s="64"/>
      <c r="B29" s="389" t="s">
        <v>453</v>
      </c>
      <c r="C29" s="65"/>
      <c r="D29" s="65"/>
      <c r="E29" s="82" t="s">
        <v>466</v>
      </c>
      <c r="F29" s="315"/>
      <c r="G29" s="315"/>
      <c r="H29" s="129" t="s">
        <v>17</v>
      </c>
      <c r="I29" s="757" t="s">
        <v>24</v>
      </c>
      <c r="J29" s="758"/>
    </row>
    <row r="30" spans="1:13" s="13" customFormat="1" ht="17.25" customHeight="1">
      <c r="A30" s="64"/>
      <c r="B30" s="389" t="s">
        <v>388</v>
      </c>
      <c r="C30" s="65"/>
      <c r="D30" s="65"/>
      <c r="E30" s="119" t="s">
        <v>467</v>
      </c>
      <c r="F30" s="304"/>
      <c r="G30" s="304"/>
      <c r="H30" s="387" t="s">
        <v>17</v>
      </c>
      <c r="I30" s="757" t="s">
        <v>24</v>
      </c>
      <c r="J30" s="758"/>
    </row>
    <row r="31" spans="1:13" s="13" customFormat="1" ht="6" customHeight="1" thickBot="1">
      <c r="A31" s="64"/>
      <c r="B31" s="65"/>
      <c r="C31" s="124"/>
      <c r="D31" s="124"/>
      <c r="E31" s="82"/>
      <c r="F31" s="381"/>
      <c r="G31" s="156"/>
      <c r="H31" s="129"/>
      <c r="I31" s="152"/>
      <c r="J31" s="151"/>
    </row>
    <row r="32" spans="1:13" ht="17.25" customHeight="1" thickBot="1">
      <c r="A32" s="86"/>
      <c r="B32" s="389" t="s">
        <v>219</v>
      </c>
      <c r="C32" s="125"/>
      <c r="D32" s="126"/>
      <c r="E32" s="119" t="s">
        <v>220</v>
      </c>
      <c r="F32" s="316" t="str">
        <f>IF(COUNT(F17,F27,F29)=3,F17+(F27-F17)*(80-60)/(80-F29),"")</f>
        <v/>
      </c>
      <c r="G32" s="316" t="str">
        <f>IF(COUNT(G17,G27,G29)=3,G17+(G27-G17)*(80-60)/(80-G29),"")</f>
        <v/>
      </c>
      <c r="H32" s="129" t="s">
        <v>67</v>
      </c>
      <c r="I32" s="757" t="s">
        <v>29</v>
      </c>
      <c r="J32" s="758"/>
    </row>
    <row r="33" spans="1:12" ht="6" customHeight="1" thickBot="1">
      <c r="A33" s="86"/>
      <c r="B33" s="65"/>
      <c r="C33" s="125"/>
      <c r="D33" s="126"/>
      <c r="E33" s="121"/>
      <c r="F33" s="156"/>
      <c r="G33" s="44"/>
      <c r="H33" s="129"/>
      <c r="I33" s="387"/>
      <c r="J33" s="388"/>
    </row>
    <row r="34" spans="1:12" ht="20.25" customHeight="1" thickBot="1">
      <c r="A34" s="86"/>
      <c r="B34" s="65"/>
      <c r="C34" s="125"/>
      <c r="D34" s="126"/>
      <c r="E34" s="148"/>
      <c r="F34" s="121" t="s">
        <v>217</v>
      </c>
      <c r="G34" s="347" t="str">
        <f>IF(COUNTBLANK(F32:G32)=0,(F32+G32)/2,"")</f>
        <v/>
      </c>
      <c r="H34" s="129" t="s">
        <v>67</v>
      </c>
      <c r="I34" s="757" t="s">
        <v>29</v>
      </c>
      <c r="J34" s="758"/>
    </row>
    <row r="35" spans="1:12" ht="6" customHeight="1" thickBot="1">
      <c r="A35" s="86"/>
      <c r="B35" s="65"/>
      <c r="C35" s="125"/>
      <c r="D35" s="126"/>
      <c r="E35" s="121"/>
      <c r="F35" s="132"/>
      <c r="G35" s="39"/>
      <c r="H35" s="129"/>
      <c r="I35" s="387"/>
      <c r="J35" s="388"/>
    </row>
    <row r="36" spans="1:12" ht="17.25" customHeight="1" thickBot="1">
      <c r="A36" s="86"/>
      <c r="B36" s="65"/>
      <c r="C36" s="124"/>
      <c r="D36" s="124"/>
      <c r="E36" s="127"/>
      <c r="F36" s="132" t="s">
        <v>33</v>
      </c>
      <c r="G36" s="306" t="str">
        <f>IF(G34&lt;&gt;"",ABS(F32-G32)/G34,"")</f>
        <v/>
      </c>
      <c r="H36" s="393" t="s">
        <v>506</v>
      </c>
      <c r="I36" s="387"/>
      <c r="J36" s="388"/>
      <c r="L36" s="25"/>
    </row>
    <row r="37" spans="1:12" ht="4.5" hidden="1" customHeight="1" thickBot="1">
      <c r="A37" s="86"/>
      <c r="B37" s="65"/>
      <c r="C37" s="124"/>
      <c r="D37" s="124"/>
      <c r="E37" s="74"/>
      <c r="F37" s="157"/>
      <c r="G37" s="45"/>
      <c r="H37" s="129"/>
      <c r="I37" s="152"/>
      <c r="J37" s="388"/>
    </row>
    <row r="38" spans="1:12" ht="7.5" customHeight="1">
      <c r="A38" s="86"/>
      <c r="B38" s="149"/>
      <c r="C38" s="149"/>
      <c r="D38" s="74"/>
      <c r="E38" s="74"/>
      <c r="F38" s="74"/>
      <c r="G38" s="19"/>
      <c r="H38" s="153"/>
      <c r="I38" s="387"/>
      <c r="J38" s="151"/>
      <c r="L38" s="25"/>
    </row>
    <row r="39" spans="1:12" ht="21" customHeight="1">
      <c r="A39" s="86"/>
      <c r="B39" s="65" t="s">
        <v>221</v>
      </c>
      <c r="C39" s="389"/>
      <c r="D39" s="389"/>
      <c r="E39" s="389"/>
      <c r="F39" s="307" t="str">
        <f>IF(COUNT(F17,F18,F27)=3,MAX(F17,F18,F27),"")</f>
        <v/>
      </c>
      <c r="G39" s="307" t="str">
        <f>IF(COUNT(G17,G18,G27)=3,MAX(G17,G18,G27),"")</f>
        <v/>
      </c>
      <c r="H39" s="129" t="s">
        <v>26</v>
      </c>
      <c r="I39" s="757" t="s">
        <v>29</v>
      </c>
      <c r="J39" s="758"/>
      <c r="L39" s="25"/>
    </row>
    <row r="40" spans="1:12" ht="7.5" customHeight="1">
      <c r="A40" s="86"/>
      <c r="B40" s="65"/>
      <c r="C40" s="389"/>
      <c r="D40" s="389"/>
      <c r="E40" s="389"/>
      <c r="F40" s="132"/>
      <c r="G40" s="132"/>
      <c r="H40" s="129"/>
      <c r="I40" s="387"/>
      <c r="J40" s="388"/>
      <c r="L40" s="25"/>
    </row>
    <row r="41" spans="1:12" ht="18" thickBot="1">
      <c r="A41" s="86"/>
      <c r="B41" s="774" t="s">
        <v>390</v>
      </c>
      <c r="C41" s="774"/>
      <c r="D41" s="74"/>
      <c r="E41" s="74"/>
      <c r="F41" s="74"/>
      <c r="G41" s="74"/>
      <c r="H41" s="153"/>
      <c r="I41" s="387"/>
      <c r="J41" s="151"/>
      <c r="L41" s="25"/>
    </row>
    <row r="42" spans="1:12" ht="22.5" customHeight="1" thickBot="1">
      <c r="A42" s="86"/>
      <c r="B42" s="762" t="s">
        <v>222</v>
      </c>
      <c r="C42" s="762"/>
      <c r="D42" s="762"/>
      <c r="E42" s="762"/>
      <c r="F42" s="62" t="s">
        <v>445</v>
      </c>
      <c r="G42" s="348" t="str">
        <f>IF(AND(G25&lt;0.1,G36&lt;0.1),IF(COUNT(G23,G34)=2,MAX(G23,G34),""),"")</f>
        <v/>
      </c>
      <c r="H42" s="129" t="s">
        <v>67</v>
      </c>
      <c r="I42" s="757" t="s">
        <v>29</v>
      </c>
      <c r="J42" s="758"/>
    </row>
    <row r="43" spans="1:12" ht="9.6" customHeight="1">
      <c r="A43" s="86"/>
      <c r="B43" s="65"/>
      <c r="C43" s="389"/>
      <c r="D43" s="389"/>
      <c r="E43" s="389"/>
      <c r="F43" s="132"/>
      <c r="G43" s="132"/>
      <c r="H43" s="129"/>
      <c r="I43" s="387"/>
      <c r="J43" s="388"/>
    </row>
    <row r="44" spans="1:12" ht="15" customHeight="1">
      <c r="A44" s="86"/>
      <c r="B44" s="763" t="s">
        <v>172</v>
      </c>
      <c r="C44" s="763"/>
      <c r="D44" s="763"/>
      <c r="E44" s="763"/>
      <c r="F44" s="74"/>
      <c r="G44" s="132"/>
      <c r="H44" s="132"/>
      <c r="I44" s="387"/>
      <c r="J44" s="388"/>
    </row>
    <row r="45" spans="1:12" ht="15" customHeight="1">
      <c r="A45" s="64"/>
      <c r="B45" s="65" t="s">
        <v>383</v>
      </c>
      <c r="C45" s="65"/>
      <c r="D45" s="72"/>
      <c r="E45" s="72"/>
      <c r="F45" s="410"/>
      <c r="G45" s="410"/>
      <c r="H45" s="410"/>
      <c r="I45" s="410"/>
      <c r="J45" s="66"/>
    </row>
    <row r="46" spans="1:12" ht="19.5" customHeight="1">
      <c r="A46" s="64"/>
      <c r="B46" s="401"/>
      <c r="C46" s="72"/>
      <c r="D46" s="401"/>
      <c r="E46" s="401"/>
      <c r="F46" s="401"/>
      <c r="G46" s="401"/>
      <c r="H46" s="401"/>
      <c r="I46" s="401"/>
      <c r="J46" s="66"/>
    </row>
    <row r="47" spans="1:12" ht="15" customHeight="1">
      <c r="A47" s="64"/>
      <c r="B47" s="401"/>
      <c r="C47" s="401"/>
      <c r="D47" s="401"/>
      <c r="E47" s="401"/>
      <c r="F47" s="74" t="s">
        <v>27</v>
      </c>
      <c r="G47" s="138" t="s">
        <v>28</v>
      </c>
      <c r="H47" s="72"/>
      <c r="I47" s="401"/>
      <c r="J47" s="66"/>
    </row>
    <row r="48" spans="1:12" ht="17.25" customHeight="1">
      <c r="A48" s="64"/>
      <c r="B48" s="441" t="s">
        <v>353</v>
      </c>
      <c r="C48" s="76"/>
      <c r="D48" s="76"/>
      <c r="E48" s="63" t="s">
        <v>346</v>
      </c>
      <c r="F48" s="309"/>
      <c r="G48" s="309"/>
      <c r="H48" s="426" t="s">
        <v>361</v>
      </c>
      <c r="I48" s="723" t="s">
        <v>25</v>
      </c>
      <c r="J48" s="724"/>
    </row>
    <row r="49" spans="1:10" ht="17.25" customHeight="1">
      <c r="A49" s="64"/>
      <c r="B49" s="441" t="s">
        <v>354</v>
      </c>
      <c r="C49" s="76"/>
      <c r="D49" s="76"/>
      <c r="E49" s="63" t="s">
        <v>347</v>
      </c>
      <c r="F49" s="310"/>
      <c r="G49" s="310"/>
      <c r="H49" s="426" t="s">
        <v>507</v>
      </c>
      <c r="I49" s="387" t="s">
        <v>48</v>
      </c>
      <c r="J49" s="66"/>
    </row>
    <row r="50" spans="1:10" ht="17.25" customHeight="1">
      <c r="A50" s="64"/>
      <c r="B50" s="441" t="s">
        <v>355</v>
      </c>
      <c r="C50" s="441"/>
      <c r="D50" s="441"/>
      <c r="E50" s="63" t="s">
        <v>348</v>
      </c>
      <c r="F50" s="311"/>
      <c r="G50" s="311"/>
      <c r="H50" s="426" t="s">
        <v>137</v>
      </c>
      <c r="I50" s="723" t="s">
        <v>24</v>
      </c>
      <c r="J50" s="724"/>
    </row>
    <row r="51" spans="1:10" ht="17.25" customHeight="1">
      <c r="A51" s="64"/>
      <c r="B51" s="441" t="s">
        <v>356</v>
      </c>
      <c r="C51" s="441"/>
      <c r="D51" s="441"/>
      <c r="E51" s="63" t="s">
        <v>349</v>
      </c>
      <c r="F51" s="312"/>
      <c r="G51" s="312"/>
      <c r="H51" s="426" t="s">
        <v>138</v>
      </c>
      <c r="I51" s="723" t="s">
        <v>29</v>
      </c>
      <c r="J51" s="724"/>
    </row>
    <row r="52" spans="1:10" ht="17.25" customHeight="1">
      <c r="A52" s="64"/>
      <c r="B52" s="442" t="s">
        <v>357</v>
      </c>
      <c r="C52" s="442"/>
      <c r="D52" s="442"/>
      <c r="E52" s="63" t="s">
        <v>350</v>
      </c>
      <c r="F52" s="312"/>
      <c r="G52" s="312"/>
      <c r="H52" s="426" t="s">
        <v>138</v>
      </c>
      <c r="I52" s="723" t="s">
        <v>29</v>
      </c>
      <c r="J52" s="724"/>
    </row>
    <row r="53" spans="1:10" ht="17.25" customHeight="1">
      <c r="A53" s="64"/>
      <c r="B53" s="442" t="s">
        <v>389</v>
      </c>
      <c r="C53" s="442"/>
      <c r="D53" s="442"/>
      <c r="E53" s="63" t="s">
        <v>351</v>
      </c>
      <c r="F53" s="427" t="str">
        <f>IF(COUNTBLANK(F48:F52)=0,IF(F60="乾　式","0.00",10^(7.203-1735.74/(F50+234))),"")</f>
        <v/>
      </c>
      <c r="G53" s="427" t="str">
        <f>IF(COUNTBLANK(G48:G52)=0,IF(F60="乾　式","0.00",10^(7.203-1735.74/(G50+234))),"")</f>
        <v/>
      </c>
      <c r="H53" s="426" t="s">
        <v>138</v>
      </c>
      <c r="I53" s="723" t="s">
        <v>29</v>
      </c>
      <c r="J53" s="724"/>
    </row>
    <row r="54" spans="1:10" ht="9" customHeight="1" thickBot="1">
      <c r="A54" s="110"/>
      <c r="B54" s="429"/>
      <c r="C54" s="429"/>
      <c r="D54" s="429"/>
      <c r="E54" s="431"/>
      <c r="F54" s="432"/>
      <c r="G54" s="432"/>
      <c r="H54" s="433"/>
      <c r="I54" s="154"/>
      <c r="J54" s="155"/>
    </row>
    <row r="55" spans="1:10" ht="16.149999999999999" customHeight="1" thickBot="1">
      <c r="A55" s="233"/>
      <c r="B55" s="434"/>
      <c r="C55" s="434"/>
      <c r="D55" s="434"/>
      <c r="E55" s="436"/>
      <c r="F55" s="437"/>
      <c r="G55" s="437"/>
      <c r="H55" s="438"/>
      <c r="I55" s="234"/>
      <c r="J55" s="234"/>
    </row>
    <row r="56" spans="1:10" s="13" customFormat="1" ht="18.75" customHeight="1" thickBot="1">
      <c r="A56" s="732" t="s">
        <v>167</v>
      </c>
      <c r="B56" s="733"/>
      <c r="C56" s="733"/>
      <c r="D56" s="733"/>
      <c r="E56" s="733"/>
      <c r="F56" s="733"/>
      <c r="G56" s="733"/>
      <c r="H56" s="733"/>
      <c r="I56" s="733"/>
      <c r="J56" s="734"/>
    </row>
    <row r="57" spans="1:10" s="13" customFormat="1" ht="28.5" customHeight="1" thickTop="1">
      <c r="A57" s="294" t="s">
        <v>179</v>
      </c>
      <c r="B57" s="711" t="str">
        <f>+表紙!B3&amp;"　　（３．立上り性能）"</f>
        <v>アンダーカウンター洗浄機、ドアタイプ洗浄機（選択してください）　　（３．立上り性能）</v>
      </c>
      <c r="C57" s="712"/>
      <c r="D57" s="712"/>
      <c r="E57" s="712"/>
      <c r="F57" s="712"/>
      <c r="G57" s="745"/>
      <c r="H57" s="712" t="str">
        <f>"ガス種："&amp;表紙!$I$11</f>
        <v>ガス種：(選択して下さい)</v>
      </c>
      <c r="I57" s="712"/>
      <c r="J57" s="779"/>
    </row>
    <row r="58" spans="1:10" s="13" customFormat="1" ht="18" customHeight="1" thickBot="1">
      <c r="A58" s="285" t="s">
        <v>378</v>
      </c>
      <c r="B58" s="720" t="str">
        <f>IF(表紙!$B$6=0,"",表紙!$B$6)</f>
        <v/>
      </c>
      <c r="C58" s="720"/>
      <c r="D58" s="720"/>
      <c r="E58" s="722"/>
      <c r="F58" s="374" t="s">
        <v>3</v>
      </c>
      <c r="G58" s="725" t="str">
        <f>IF(表紙!$H$5=0,"",表紙!$H$5)</f>
        <v/>
      </c>
      <c r="H58" s="726"/>
      <c r="I58" s="726"/>
      <c r="J58" s="727"/>
    </row>
    <row r="59" spans="1:10" ht="15.6" customHeight="1">
      <c r="A59" s="64"/>
      <c r="B59" s="414"/>
      <c r="C59" s="414"/>
      <c r="D59" s="414"/>
      <c r="E59" s="415"/>
      <c r="F59" s="415"/>
      <c r="G59" s="428"/>
      <c r="H59" s="417"/>
      <c r="I59" s="377"/>
      <c r="J59" s="378"/>
    </row>
    <row r="60" spans="1:10" ht="18.75" customHeight="1">
      <c r="A60" s="64"/>
      <c r="B60" s="389" t="s">
        <v>472</v>
      </c>
      <c r="C60" s="65"/>
      <c r="D60" s="381"/>
      <c r="E60" s="443"/>
      <c r="F60" s="468" t="s">
        <v>516</v>
      </c>
      <c r="G60" s="401"/>
      <c r="H60" s="439"/>
      <c r="I60" s="401"/>
      <c r="J60" s="66"/>
    </row>
    <row r="61" spans="1:10" ht="18.75" customHeight="1">
      <c r="A61" s="64"/>
      <c r="B61" s="381" t="s">
        <v>343</v>
      </c>
      <c r="C61" s="381"/>
      <c r="D61" s="72"/>
      <c r="E61" s="418"/>
      <c r="F61" s="418"/>
      <c r="G61" s="418"/>
      <c r="H61" s="401"/>
      <c r="I61" s="440"/>
      <c r="J61" s="73"/>
    </row>
    <row r="62" spans="1:10" ht="18.75" customHeight="1">
      <c r="A62" s="64"/>
      <c r="B62" s="381" t="s">
        <v>344</v>
      </c>
      <c r="C62" s="381"/>
      <c r="D62" s="72"/>
      <c r="E62" s="141"/>
      <c r="F62" s="141"/>
      <c r="G62" s="141"/>
      <c r="H62" s="418"/>
      <c r="I62" s="401"/>
      <c r="J62" s="66"/>
    </row>
    <row r="63" spans="1:10" ht="15" customHeight="1">
      <c r="A63" s="64"/>
      <c r="B63" s="381"/>
      <c r="C63" s="76"/>
      <c r="D63" s="76"/>
      <c r="E63" s="76"/>
      <c r="F63" s="76"/>
      <c r="G63" s="76"/>
      <c r="H63" s="74"/>
      <c r="I63" s="65"/>
      <c r="J63" s="101"/>
    </row>
    <row r="64" spans="1:10" ht="15" customHeight="1">
      <c r="A64" s="64"/>
      <c r="B64" s="381"/>
      <c r="C64" s="76"/>
      <c r="D64" s="76"/>
      <c r="E64" s="76"/>
      <c r="F64" s="76"/>
      <c r="G64" s="76"/>
      <c r="H64" s="74"/>
      <c r="I64" s="65"/>
      <c r="J64" s="101"/>
    </row>
    <row r="65" spans="1:19" ht="15" customHeight="1">
      <c r="A65" s="64"/>
      <c r="B65" s="381"/>
      <c r="C65" s="76"/>
      <c r="D65" s="76"/>
      <c r="E65" s="76"/>
      <c r="F65" s="76"/>
      <c r="G65" s="76"/>
      <c r="H65" s="74"/>
      <c r="I65" s="65"/>
      <c r="J65" s="101"/>
    </row>
    <row r="66" spans="1:19" ht="15" customHeight="1">
      <c r="A66" s="64"/>
      <c r="B66" s="381"/>
      <c r="C66" s="76"/>
      <c r="D66" s="76"/>
      <c r="E66" s="76"/>
      <c r="F66" s="74" t="s">
        <v>27</v>
      </c>
      <c r="G66" s="138" t="s">
        <v>28</v>
      </c>
      <c r="H66" s="72"/>
      <c r="I66" s="65"/>
      <c r="J66" s="101"/>
    </row>
    <row r="67" spans="1:19" ht="23.25" customHeight="1">
      <c r="A67" s="64"/>
      <c r="B67" s="764" t="s">
        <v>212</v>
      </c>
      <c r="C67" s="764"/>
      <c r="D67" s="764"/>
      <c r="E67" s="140" t="s">
        <v>391</v>
      </c>
      <c r="F67" s="313" t="str">
        <f>IF(COUNTBLANK(F48:F52)=0,(F48*F49*(F51+F52-F53)*273/3600/101.3/(273+F50)),"")</f>
        <v/>
      </c>
      <c r="G67" s="313" t="str">
        <f>IF(COUNTBLANK(G48:G52)=0,(G48*G49*(G51+G52-G53)*273/3600/101.3/(273+G50)),"")</f>
        <v/>
      </c>
      <c r="H67" s="387" t="s">
        <v>54</v>
      </c>
      <c r="I67" s="723" t="s">
        <v>25</v>
      </c>
      <c r="J67" s="724"/>
      <c r="L67" s="275" t="s">
        <v>149</v>
      </c>
      <c r="M67" s="12">
        <v>60</v>
      </c>
    </row>
    <row r="68" spans="1:19" ht="11.25" customHeight="1">
      <c r="A68" s="86"/>
      <c r="B68" s="65"/>
      <c r="C68" s="389"/>
      <c r="D68" s="389"/>
      <c r="E68" s="158"/>
      <c r="F68" s="132"/>
      <c r="G68" s="132"/>
      <c r="H68" s="129"/>
      <c r="I68" s="387"/>
      <c r="J68" s="388"/>
    </row>
    <row r="69" spans="1:19" s="13" customFormat="1" ht="22.5" customHeight="1">
      <c r="A69" s="64"/>
      <c r="B69" s="764" t="s">
        <v>452</v>
      </c>
      <c r="C69" s="764"/>
      <c r="D69" s="764"/>
      <c r="E69" s="119" t="s">
        <v>223</v>
      </c>
      <c r="F69" s="337"/>
      <c r="G69" s="337"/>
      <c r="H69" s="385" t="s">
        <v>54</v>
      </c>
      <c r="I69" s="757" t="s">
        <v>25</v>
      </c>
      <c r="J69" s="783"/>
      <c r="M69" s="17"/>
    </row>
    <row r="70" spans="1:19" s="13" customFormat="1" ht="13.9" customHeight="1">
      <c r="A70" s="64"/>
      <c r="B70" s="159"/>
      <c r="C70" s="159"/>
      <c r="D70" s="159"/>
      <c r="E70" s="65"/>
      <c r="F70" s="444"/>
      <c r="G70" s="444"/>
      <c r="H70" s="385"/>
      <c r="I70" s="387"/>
      <c r="J70" s="390"/>
      <c r="M70" s="17"/>
    </row>
    <row r="71" spans="1:19" s="13" customFormat="1" ht="13.9" customHeight="1">
      <c r="A71" s="64"/>
      <c r="B71" s="159"/>
      <c r="C71" s="159"/>
      <c r="D71" s="159"/>
      <c r="E71" s="65"/>
      <c r="F71" s="444"/>
      <c r="G71" s="444"/>
      <c r="H71" s="385"/>
      <c r="I71" s="387"/>
      <c r="J71" s="390"/>
      <c r="M71" s="17"/>
    </row>
    <row r="72" spans="1:19" s="13" customFormat="1" ht="15" customHeight="1">
      <c r="A72" s="64"/>
      <c r="B72" s="65" t="s">
        <v>90</v>
      </c>
      <c r="C72" s="65"/>
      <c r="D72" s="65"/>
      <c r="E72" s="89"/>
      <c r="F72" s="160"/>
      <c r="G72" s="160"/>
      <c r="H72" s="393"/>
      <c r="I72" s="129"/>
      <c r="J72" s="66"/>
      <c r="M72" s="17"/>
    </row>
    <row r="73" spans="1:19" ht="15" customHeight="1">
      <c r="A73" s="86"/>
      <c r="B73" s="72"/>
      <c r="C73" s="72"/>
      <c r="D73" s="72"/>
      <c r="E73" s="74"/>
      <c r="F73" s="74"/>
      <c r="G73" s="74"/>
      <c r="H73" s="153"/>
      <c r="I73" s="129"/>
      <c r="J73" s="66"/>
    </row>
    <row r="74" spans="1:19" ht="15" customHeight="1">
      <c r="A74" s="86"/>
      <c r="B74" s="72"/>
      <c r="C74" s="74"/>
      <c r="D74" s="74"/>
      <c r="E74" s="72"/>
      <c r="F74" s="72"/>
      <c r="G74" s="72"/>
      <c r="H74" s="72"/>
      <c r="I74" s="65"/>
      <c r="J74" s="66"/>
      <c r="S74" s="28"/>
    </row>
    <row r="75" spans="1:19" ht="15" customHeight="1">
      <c r="A75" s="86"/>
      <c r="B75" s="72"/>
      <c r="C75" s="74"/>
      <c r="D75" s="74"/>
      <c r="E75" s="72"/>
      <c r="F75" s="72"/>
      <c r="G75" s="72"/>
      <c r="H75" s="72"/>
      <c r="I75" s="65"/>
      <c r="J75" s="66"/>
    </row>
    <row r="76" spans="1:19" ht="15" customHeight="1">
      <c r="A76" s="86"/>
      <c r="B76" s="72"/>
      <c r="C76" s="74"/>
      <c r="D76" s="74"/>
      <c r="E76" s="72"/>
      <c r="F76" s="72"/>
      <c r="G76" s="72"/>
      <c r="H76" s="72"/>
      <c r="I76" s="65"/>
      <c r="J76" s="66"/>
    </row>
    <row r="77" spans="1:19" ht="15" customHeight="1">
      <c r="A77" s="86"/>
      <c r="B77" s="72"/>
      <c r="C77" s="65"/>
      <c r="D77" s="65"/>
      <c r="E77" s="65"/>
      <c r="F77" s="65"/>
      <c r="G77" s="65"/>
      <c r="H77" s="65"/>
      <c r="I77" s="65"/>
      <c r="J77" s="66"/>
    </row>
    <row r="78" spans="1:19" ht="15" customHeight="1">
      <c r="A78" s="86"/>
      <c r="B78" s="72"/>
      <c r="C78" s="65"/>
      <c r="D78" s="65"/>
      <c r="E78" s="65"/>
      <c r="F78" s="65"/>
      <c r="G78" s="65"/>
      <c r="H78" s="65"/>
      <c r="I78" s="65"/>
      <c r="J78" s="66"/>
    </row>
    <row r="79" spans="1:19" ht="15" customHeight="1">
      <c r="A79" s="86"/>
      <c r="B79" s="65"/>
      <c r="C79" s="72"/>
      <c r="D79" s="72"/>
      <c r="E79" s="65"/>
      <c r="F79" s="65"/>
      <c r="G79" s="65"/>
      <c r="H79" s="65"/>
      <c r="I79" s="65"/>
      <c r="J79" s="66"/>
    </row>
    <row r="80" spans="1:19" ht="11.25" customHeight="1">
      <c r="A80" s="86"/>
      <c r="B80" s="65"/>
      <c r="C80" s="72"/>
      <c r="D80" s="72"/>
      <c r="E80" s="65"/>
      <c r="F80" s="65"/>
      <c r="G80" s="65"/>
      <c r="H80" s="65"/>
      <c r="I80" s="65"/>
      <c r="J80" s="66"/>
    </row>
    <row r="81" spans="1:10" ht="15" customHeight="1">
      <c r="A81" s="86"/>
      <c r="B81" s="65"/>
      <c r="C81" s="65"/>
      <c r="D81" s="65"/>
      <c r="E81" s="65"/>
      <c r="F81" s="65"/>
      <c r="G81" s="65"/>
      <c r="H81" s="65"/>
      <c r="I81" s="65"/>
      <c r="J81" s="66"/>
    </row>
    <row r="82" spans="1:10" s="13" customFormat="1" ht="15" customHeight="1">
      <c r="A82" s="64"/>
      <c r="B82" s="65"/>
      <c r="C82" s="65"/>
      <c r="D82" s="65"/>
      <c r="E82" s="65"/>
      <c r="F82" s="65"/>
      <c r="G82" s="65"/>
      <c r="H82" s="65"/>
      <c r="I82" s="65"/>
      <c r="J82" s="66"/>
    </row>
    <row r="83" spans="1:10" s="13" customFormat="1" ht="15" customHeight="1">
      <c r="A83" s="64"/>
      <c r="B83" s="65"/>
      <c r="C83" s="65"/>
      <c r="D83" s="65"/>
      <c r="E83" s="65"/>
      <c r="F83" s="65"/>
      <c r="G83" s="65"/>
      <c r="H83" s="65"/>
      <c r="I83" s="65"/>
      <c r="J83" s="66"/>
    </row>
    <row r="84" spans="1:10" s="13" customFormat="1" ht="15" customHeight="1">
      <c r="A84" s="64"/>
      <c r="B84" s="65"/>
      <c r="C84" s="65"/>
      <c r="D84" s="65"/>
      <c r="E84" s="65"/>
      <c r="F84" s="65"/>
      <c r="G84" s="65"/>
      <c r="H84" s="65"/>
      <c r="I84" s="65"/>
      <c r="J84" s="66"/>
    </row>
    <row r="85" spans="1:10" s="13" customFormat="1" ht="15" customHeight="1">
      <c r="A85" s="64"/>
      <c r="B85" s="65"/>
      <c r="C85" s="65"/>
      <c r="D85" s="65"/>
      <c r="E85" s="65"/>
      <c r="F85" s="65"/>
      <c r="G85" s="65"/>
      <c r="H85" s="65"/>
      <c r="I85" s="65"/>
      <c r="J85" s="66"/>
    </row>
    <row r="86" spans="1:10" s="13" customFormat="1" ht="15" customHeight="1">
      <c r="A86" s="64"/>
      <c r="B86" s="65"/>
      <c r="C86" s="65"/>
      <c r="D86" s="65"/>
      <c r="E86" s="65"/>
      <c r="F86" s="65"/>
      <c r="G86" s="65"/>
      <c r="H86" s="65"/>
      <c r="I86" s="65"/>
      <c r="J86" s="66"/>
    </row>
    <row r="87" spans="1:10" s="13" customFormat="1" ht="15" customHeight="1">
      <c r="A87" s="64"/>
      <c r="B87" s="65"/>
      <c r="C87" s="65"/>
      <c r="D87" s="65"/>
      <c r="E87" s="65"/>
      <c r="F87" s="65"/>
      <c r="G87" s="65"/>
      <c r="H87" s="65"/>
      <c r="I87" s="65"/>
      <c r="J87" s="66"/>
    </row>
    <row r="88" spans="1:10" s="13" customFormat="1" ht="15" customHeight="1">
      <c r="A88" s="64"/>
      <c r="B88" s="65"/>
      <c r="C88" s="65"/>
      <c r="D88" s="65"/>
      <c r="E88" s="65"/>
      <c r="F88" s="65"/>
      <c r="G88" s="65"/>
      <c r="H88" s="65"/>
      <c r="I88" s="65"/>
      <c r="J88" s="66"/>
    </row>
    <row r="89" spans="1:10" s="13" customFormat="1" ht="15" customHeight="1">
      <c r="A89" s="64"/>
      <c r="B89" s="65"/>
      <c r="C89" s="65"/>
      <c r="D89" s="65"/>
      <c r="E89" s="65"/>
      <c r="F89" s="65"/>
      <c r="G89" s="65"/>
      <c r="H89" s="65"/>
      <c r="I89" s="65"/>
      <c r="J89" s="66"/>
    </row>
    <row r="90" spans="1:10" s="13" customFormat="1" ht="15" customHeight="1">
      <c r="A90" s="64"/>
      <c r="B90" s="65"/>
      <c r="C90" s="65"/>
      <c r="D90" s="65"/>
      <c r="E90" s="65"/>
      <c r="F90" s="65"/>
      <c r="G90" s="65"/>
      <c r="H90" s="65"/>
      <c r="I90" s="65"/>
      <c r="J90" s="66"/>
    </row>
    <row r="91" spans="1:10" s="13" customFormat="1" ht="15" customHeight="1">
      <c r="A91" s="64"/>
      <c r="B91" s="65"/>
      <c r="C91" s="65"/>
      <c r="D91" s="65"/>
      <c r="E91" s="65"/>
      <c r="F91" s="65"/>
      <c r="G91" s="65"/>
      <c r="H91" s="65"/>
      <c r="I91" s="65"/>
      <c r="J91" s="66"/>
    </row>
    <row r="92" spans="1:10" s="13" customFormat="1" ht="15" customHeight="1">
      <c r="A92" s="64"/>
      <c r="B92" s="65"/>
      <c r="C92" s="65"/>
      <c r="D92" s="65"/>
      <c r="E92" s="65"/>
      <c r="F92" s="65"/>
      <c r="G92" s="65"/>
      <c r="H92" s="65"/>
      <c r="I92" s="65"/>
      <c r="J92" s="66"/>
    </row>
    <row r="93" spans="1:10" s="13" customFormat="1" ht="15" customHeight="1">
      <c r="A93" s="64"/>
      <c r="B93" s="65"/>
      <c r="C93" s="65"/>
      <c r="D93" s="65"/>
      <c r="E93" s="65"/>
      <c r="F93" s="65"/>
      <c r="G93" s="65"/>
      <c r="H93" s="65"/>
      <c r="I93" s="65"/>
      <c r="J93" s="66"/>
    </row>
    <row r="94" spans="1:10" s="13" customFormat="1" ht="15" customHeight="1">
      <c r="A94" s="64"/>
      <c r="B94" s="65"/>
      <c r="C94" s="65"/>
      <c r="D94" s="65"/>
      <c r="E94" s="65"/>
      <c r="F94" s="65"/>
      <c r="G94" s="65"/>
      <c r="H94" s="65"/>
      <c r="I94" s="65"/>
      <c r="J94" s="66"/>
    </row>
    <row r="95" spans="1:10" s="13" customFormat="1" ht="15" customHeight="1">
      <c r="A95" s="64"/>
      <c r="B95" s="65"/>
      <c r="C95" s="65"/>
      <c r="D95" s="65"/>
      <c r="E95" s="65"/>
      <c r="F95" s="65"/>
      <c r="G95" s="65"/>
      <c r="H95" s="65"/>
      <c r="I95" s="65"/>
      <c r="J95" s="66"/>
    </row>
    <row r="96" spans="1:10" s="13" customFormat="1" ht="15" customHeight="1">
      <c r="A96" s="64"/>
      <c r="B96" s="65"/>
      <c r="C96" s="65"/>
      <c r="D96" s="65"/>
      <c r="E96" s="65"/>
      <c r="F96" s="65"/>
      <c r="G96" s="65"/>
      <c r="H96" s="65"/>
      <c r="I96" s="65"/>
      <c r="J96" s="66"/>
    </row>
    <row r="97" spans="1:10" s="13" customFormat="1" ht="15" customHeight="1">
      <c r="A97" s="64"/>
      <c r="B97" s="65"/>
      <c r="C97" s="65"/>
      <c r="D97" s="65"/>
      <c r="E97" s="65"/>
      <c r="F97" s="65"/>
      <c r="G97" s="65"/>
      <c r="H97" s="65"/>
      <c r="I97" s="65"/>
      <c r="J97" s="66"/>
    </row>
    <row r="98" spans="1:10" s="13" customFormat="1" ht="15" customHeight="1">
      <c r="A98" s="64"/>
      <c r="B98" s="65"/>
      <c r="C98" s="65"/>
      <c r="D98" s="65"/>
      <c r="E98" s="65"/>
      <c r="F98" s="65"/>
      <c r="G98" s="65"/>
      <c r="H98" s="65"/>
      <c r="I98" s="65"/>
      <c r="J98" s="66"/>
    </row>
    <row r="99" spans="1:10" s="13" customFormat="1" ht="15" customHeight="1">
      <c r="A99" s="64"/>
      <c r="B99" s="65"/>
      <c r="C99" s="65"/>
      <c r="D99" s="65"/>
      <c r="E99" s="65"/>
      <c r="F99" s="65"/>
      <c r="G99" s="65"/>
      <c r="H99" s="65"/>
      <c r="I99" s="65"/>
      <c r="J99" s="66"/>
    </row>
    <row r="100" spans="1:10" s="13" customFormat="1" ht="15" customHeight="1">
      <c r="A100" s="64"/>
      <c r="B100" s="65"/>
      <c r="C100" s="65"/>
      <c r="D100" s="65"/>
      <c r="E100" s="65"/>
      <c r="F100" s="65"/>
      <c r="G100" s="65"/>
      <c r="H100" s="65"/>
      <c r="I100" s="65"/>
      <c r="J100" s="66"/>
    </row>
    <row r="101" spans="1:10" s="13" customFormat="1" ht="15" customHeight="1">
      <c r="A101" s="64"/>
      <c r="B101" s="65"/>
      <c r="C101" s="65"/>
      <c r="D101" s="65"/>
      <c r="E101" s="65"/>
      <c r="F101" s="65"/>
      <c r="G101" s="65"/>
      <c r="H101" s="65"/>
      <c r="I101" s="65"/>
      <c r="J101" s="66"/>
    </row>
    <row r="102" spans="1:10" s="13" customFormat="1" ht="15" customHeight="1">
      <c r="A102" s="64"/>
      <c r="B102" s="65"/>
      <c r="C102" s="65"/>
      <c r="D102" s="65"/>
      <c r="E102" s="65"/>
      <c r="F102" s="65"/>
      <c r="G102" s="65"/>
      <c r="H102" s="65"/>
      <c r="I102" s="65"/>
      <c r="J102" s="66"/>
    </row>
    <row r="103" spans="1:10" s="13" customFormat="1" ht="15" customHeight="1">
      <c r="A103" s="64"/>
      <c r="B103" s="65"/>
      <c r="C103" s="65"/>
      <c r="D103" s="65"/>
      <c r="E103" s="65"/>
      <c r="F103" s="65"/>
      <c r="G103" s="65"/>
      <c r="H103" s="65"/>
      <c r="I103" s="65"/>
      <c r="J103" s="66"/>
    </row>
    <row r="104" spans="1:10" s="13" customFormat="1" ht="15" customHeight="1">
      <c r="A104" s="64"/>
      <c r="B104" s="65"/>
      <c r="C104" s="65"/>
      <c r="D104" s="65"/>
      <c r="E104" s="65"/>
      <c r="F104" s="65"/>
      <c r="G104" s="65"/>
      <c r="H104" s="65"/>
      <c r="I104" s="65"/>
      <c r="J104" s="66"/>
    </row>
    <row r="105" spans="1:10" s="13" customFormat="1" ht="14.45" customHeight="1" thickBot="1">
      <c r="A105" s="110"/>
      <c r="B105" s="96"/>
      <c r="C105" s="96"/>
      <c r="D105" s="96"/>
      <c r="E105" s="96"/>
      <c r="F105" s="96"/>
      <c r="G105" s="96"/>
      <c r="H105" s="96"/>
      <c r="I105" s="96"/>
      <c r="J105" s="102"/>
    </row>
    <row r="106" spans="1:10" ht="9" customHeight="1"/>
  </sheetData>
  <sheetProtection password="CC9A" sheet="1" objects="1" scenarios="1" formatCells="0" formatRows="0" insertRows="0" deleteRows="0"/>
  <mergeCells count="42">
    <mergeCell ref="B58:E58"/>
    <mergeCell ref="I50:J50"/>
    <mergeCell ref="I52:J52"/>
    <mergeCell ref="I51:J51"/>
    <mergeCell ref="B44:E44"/>
    <mergeCell ref="I28:J28"/>
    <mergeCell ref="B42:E42"/>
    <mergeCell ref="A56:J56"/>
    <mergeCell ref="B57:G57"/>
    <mergeCell ref="H57:J57"/>
    <mergeCell ref="B41:C41"/>
    <mergeCell ref="B69:D69"/>
    <mergeCell ref="I69:J69"/>
    <mergeCell ref="B67:D67"/>
    <mergeCell ref="I21:J21"/>
    <mergeCell ref="I48:J48"/>
    <mergeCell ref="I23:J23"/>
    <mergeCell ref="I30:J30"/>
    <mergeCell ref="I27:J27"/>
    <mergeCell ref="I32:J32"/>
    <mergeCell ref="I42:J42"/>
    <mergeCell ref="I34:J34"/>
    <mergeCell ref="I39:J39"/>
    <mergeCell ref="I53:J53"/>
    <mergeCell ref="G58:J58"/>
    <mergeCell ref="I67:J67"/>
    <mergeCell ref="I29:J29"/>
    <mergeCell ref="I17:J17"/>
    <mergeCell ref="I18:J18"/>
    <mergeCell ref="I5:I6"/>
    <mergeCell ref="I19:J19"/>
    <mergeCell ref="C6:D6"/>
    <mergeCell ref="B9:I15"/>
    <mergeCell ref="B5:B6"/>
    <mergeCell ref="E5:E6"/>
    <mergeCell ref="C5:D5"/>
    <mergeCell ref="G5:G6"/>
    <mergeCell ref="A2:J2"/>
    <mergeCell ref="B4:E4"/>
    <mergeCell ref="G4:J4"/>
    <mergeCell ref="H3:J3"/>
    <mergeCell ref="B3:G3"/>
  </mergeCells>
  <phoneticPr fontId="3"/>
  <conditionalFormatting sqref="G25 G36">
    <cfRule type="cellIs" dxfId="9" priority="7" stopIfTrue="1" operator="greaterThan">
      <formula>0.1</formula>
    </cfRule>
  </conditionalFormatting>
  <dataValidations count="1">
    <dataValidation type="list" allowBlank="1" showInputMessage="1" showErrorMessage="1" sqref="F60">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10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104"/>
  <sheetViews>
    <sheetView view="pageBreakPreview" zoomScaleNormal="100" zoomScaleSheetLayoutView="100" workbookViewId="0">
      <selection activeCell="C5" sqref="C5:D5"/>
    </sheetView>
  </sheetViews>
  <sheetFormatPr defaultColWidth="9" defaultRowHeight="13.5"/>
  <cols>
    <col min="1" max="1" width="6.625" style="12" customWidth="1"/>
    <col min="2" max="2" width="7.25" style="12" customWidth="1"/>
    <col min="3" max="3" width="16.125" style="12" customWidth="1"/>
    <col min="4" max="4" width="19.25" style="12" customWidth="1"/>
    <col min="5" max="5" width="8" style="12" customWidth="1"/>
    <col min="6" max="7" width="7.875" style="12" customWidth="1"/>
    <col min="8" max="8" width="6.625" style="12" customWidth="1"/>
    <col min="9" max="9" width="5" style="12" customWidth="1"/>
    <col min="10" max="10" width="5.75" style="12" customWidth="1"/>
    <col min="11" max="11" width="11.375" style="12" customWidth="1"/>
    <col min="12" max="16384" width="9" style="12"/>
  </cols>
  <sheetData>
    <row r="1" spans="1:13" ht="15" customHeight="1" thickBot="1">
      <c r="A1" s="107"/>
      <c r="B1" s="107"/>
      <c r="C1" s="107"/>
      <c r="D1" s="107"/>
      <c r="E1" s="107"/>
      <c r="F1" s="107"/>
      <c r="G1" s="107"/>
      <c r="H1" s="107"/>
      <c r="I1" s="107"/>
      <c r="J1" s="107"/>
    </row>
    <row r="2" spans="1:13" s="13" customFormat="1" ht="18.75" customHeight="1" thickBot="1">
      <c r="A2" s="732" t="s">
        <v>171</v>
      </c>
      <c r="B2" s="733"/>
      <c r="C2" s="733"/>
      <c r="D2" s="733"/>
      <c r="E2" s="733"/>
      <c r="F2" s="733"/>
      <c r="G2" s="733"/>
      <c r="H2" s="733"/>
      <c r="I2" s="733"/>
      <c r="J2" s="734"/>
    </row>
    <row r="3" spans="1:13" s="13" customFormat="1" ht="28.5" customHeight="1" thickTop="1">
      <c r="A3" s="14" t="s">
        <v>179</v>
      </c>
      <c r="B3" s="711" t="str">
        <f>+表紙!B3&amp;"　　（３．立上り性能）"</f>
        <v>アンダーカウンター洗浄機、ドアタイプ洗浄機（選択してください）　　（３．立上り性能）</v>
      </c>
      <c r="C3" s="712"/>
      <c r="D3" s="712"/>
      <c r="E3" s="712"/>
      <c r="F3" s="712"/>
      <c r="G3" s="745"/>
      <c r="H3" s="712" t="str">
        <f>"ガス種："&amp;表紙!$I$11</f>
        <v>ガス種：(選択して下さい)</v>
      </c>
      <c r="I3" s="712"/>
      <c r="J3" s="779"/>
      <c r="K3" s="49"/>
    </row>
    <row r="4" spans="1:13" s="13" customFormat="1" ht="18" customHeight="1" thickBot="1">
      <c r="A4" s="15" t="s">
        <v>378</v>
      </c>
      <c r="B4" s="720" t="str">
        <f>IF(表紙!$B$6=0,"",表紙!$B$6)</f>
        <v/>
      </c>
      <c r="C4" s="720"/>
      <c r="D4" s="720"/>
      <c r="E4" s="722"/>
      <c r="F4" s="374" t="s">
        <v>3</v>
      </c>
      <c r="G4" s="725" t="str">
        <f>IF(表紙!$H$5=0,"",表紙!$H$5)</f>
        <v/>
      </c>
      <c r="H4" s="726"/>
      <c r="I4" s="726"/>
      <c r="J4" s="727"/>
    </row>
    <row r="5" spans="1:13" s="13" customFormat="1" ht="15.75" customHeight="1">
      <c r="A5" s="283" t="s">
        <v>27</v>
      </c>
      <c r="B5" s="765" t="s">
        <v>35</v>
      </c>
      <c r="C5" s="768"/>
      <c r="D5" s="782"/>
      <c r="E5" s="765" t="s">
        <v>70</v>
      </c>
      <c r="F5" s="284"/>
      <c r="G5" s="765" t="s">
        <v>36</v>
      </c>
      <c r="H5" s="284"/>
      <c r="I5" s="770" t="s">
        <v>69</v>
      </c>
      <c r="J5" s="10"/>
    </row>
    <row r="6" spans="1:13" s="13" customFormat="1" ht="15.75" customHeight="1" thickBot="1">
      <c r="A6" s="285" t="s">
        <v>28</v>
      </c>
      <c r="B6" s="608"/>
      <c r="C6" s="780"/>
      <c r="D6" s="781"/>
      <c r="E6" s="608"/>
      <c r="F6" s="286"/>
      <c r="G6" s="608"/>
      <c r="H6" s="286"/>
      <c r="I6" s="771"/>
      <c r="J6" s="11"/>
      <c r="L6" s="42"/>
    </row>
    <row r="7" spans="1:13" s="13" customFormat="1" ht="6.6" customHeight="1">
      <c r="A7" s="80"/>
      <c r="B7" s="111"/>
      <c r="C7" s="112"/>
      <c r="D7" s="112"/>
      <c r="E7" s="139"/>
      <c r="F7" s="146"/>
      <c r="G7" s="111"/>
      <c r="H7" s="146"/>
      <c r="I7" s="139"/>
      <c r="J7" s="150"/>
      <c r="L7" s="42"/>
    </row>
    <row r="8" spans="1:13" s="13" customFormat="1" ht="18" customHeight="1" thickBot="1">
      <c r="A8" s="64"/>
      <c r="B8" s="117" t="s">
        <v>141</v>
      </c>
      <c r="C8" s="96"/>
      <c r="D8" s="96"/>
      <c r="E8" s="96"/>
      <c r="F8" s="65"/>
      <c r="G8" s="118" t="str">
        <f>IF(表紙!G16="A.立上り時の給湯が洗浄タンクに直接入る場合","記入不要","")</f>
        <v/>
      </c>
      <c r="H8" s="65"/>
      <c r="I8" s="65"/>
      <c r="J8" s="66"/>
    </row>
    <row r="9" spans="1:13" s="13" customFormat="1" ht="16.899999999999999" customHeight="1">
      <c r="A9" s="64"/>
      <c r="B9" s="777" t="s">
        <v>393</v>
      </c>
      <c r="C9" s="777"/>
      <c r="D9" s="777"/>
      <c r="E9" s="777"/>
      <c r="F9" s="777"/>
      <c r="G9" s="777"/>
      <c r="H9" s="777"/>
      <c r="I9" s="777"/>
      <c r="J9" s="66"/>
    </row>
    <row r="10" spans="1:13" s="13" customFormat="1" ht="16.899999999999999" customHeight="1">
      <c r="A10" s="64"/>
      <c r="B10" s="777"/>
      <c r="C10" s="777"/>
      <c r="D10" s="777"/>
      <c r="E10" s="777"/>
      <c r="F10" s="777"/>
      <c r="G10" s="777"/>
      <c r="H10" s="777"/>
      <c r="I10" s="777"/>
      <c r="J10" s="66"/>
      <c r="M10" s="13" t="str">
        <f>表紙!G16</f>
        <v>（選択してください）</v>
      </c>
    </row>
    <row r="11" spans="1:13" s="13" customFormat="1" ht="16.899999999999999" customHeight="1">
      <c r="A11" s="64"/>
      <c r="B11" s="777"/>
      <c r="C11" s="777"/>
      <c r="D11" s="777"/>
      <c r="E11" s="777"/>
      <c r="F11" s="777"/>
      <c r="G11" s="777"/>
      <c r="H11" s="777"/>
      <c r="I11" s="777"/>
      <c r="J11" s="66"/>
      <c r="M11" s="13" t="str">
        <f>IF(M10="C.給水(標準温度:15℃)を接続する場合",""," 別のシートを使用してください")</f>
        <v xml:space="preserve"> 別のシートを使用してください</v>
      </c>
    </row>
    <row r="12" spans="1:13" s="13" customFormat="1" ht="16.899999999999999" customHeight="1">
      <c r="A12" s="64"/>
      <c r="B12" s="777"/>
      <c r="C12" s="777"/>
      <c r="D12" s="777"/>
      <c r="E12" s="777"/>
      <c r="F12" s="777"/>
      <c r="G12" s="777"/>
      <c r="H12" s="777"/>
      <c r="I12" s="777"/>
      <c r="J12" s="66"/>
    </row>
    <row r="13" spans="1:13" s="13" customFormat="1" ht="16.899999999999999" customHeight="1">
      <c r="A13" s="64"/>
      <c r="B13" s="777"/>
      <c r="C13" s="777"/>
      <c r="D13" s="777"/>
      <c r="E13" s="777"/>
      <c r="F13" s="777"/>
      <c r="G13" s="777"/>
      <c r="H13" s="777"/>
      <c r="I13" s="777"/>
      <c r="J13" s="66"/>
    </row>
    <row r="14" spans="1:13" s="13" customFormat="1" ht="16.899999999999999" customHeight="1">
      <c r="A14" s="64"/>
      <c r="B14" s="777"/>
      <c r="C14" s="777"/>
      <c r="D14" s="777"/>
      <c r="E14" s="777"/>
      <c r="F14" s="777"/>
      <c r="G14" s="777"/>
      <c r="H14" s="777"/>
      <c r="I14" s="777"/>
      <c r="J14" s="66"/>
    </row>
    <row r="15" spans="1:13" s="13" customFormat="1" ht="16.899999999999999" customHeight="1">
      <c r="A15" s="64"/>
      <c r="B15" s="777"/>
      <c r="C15" s="777"/>
      <c r="D15" s="777"/>
      <c r="E15" s="777"/>
      <c r="F15" s="777"/>
      <c r="G15" s="777"/>
      <c r="H15" s="777"/>
      <c r="I15" s="777"/>
      <c r="J15" s="66"/>
    </row>
    <row r="16" spans="1:13" s="13" customFormat="1" ht="21" customHeight="1">
      <c r="A16" s="64"/>
      <c r="B16" s="774" t="s">
        <v>102</v>
      </c>
      <c r="C16" s="774"/>
      <c r="D16" s="74"/>
      <c r="E16" s="74"/>
      <c r="F16" s="192" t="s">
        <v>27</v>
      </c>
      <c r="G16" s="192" t="s">
        <v>28</v>
      </c>
      <c r="H16" s="65"/>
      <c r="I16" s="65"/>
      <c r="J16" s="66"/>
    </row>
    <row r="17" spans="1:13" s="13" customFormat="1" ht="17.25" customHeight="1">
      <c r="A17" s="64"/>
      <c r="B17" s="389" t="s">
        <v>224</v>
      </c>
      <c r="C17" s="65"/>
      <c r="D17" s="65"/>
      <c r="E17" s="119" t="s">
        <v>216</v>
      </c>
      <c r="F17" s="303"/>
      <c r="G17" s="303"/>
      <c r="H17" s="129" t="s">
        <v>26</v>
      </c>
      <c r="I17" s="757" t="s">
        <v>29</v>
      </c>
      <c r="J17" s="758"/>
    </row>
    <row r="18" spans="1:13" s="13" customFormat="1" ht="17.25" customHeight="1">
      <c r="A18" s="64"/>
      <c r="B18" s="785" t="s">
        <v>225</v>
      </c>
      <c r="C18" s="785"/>
      <c r="D18" s="785"/>
      <c r="E18" s="119" t="s">
        <v>206</v>
      </c>
      <c r="F18" s="314"/>
      <c r="G18" s="314"/>
      <c r="H18" s="129" t="s">
        <v>53</v>
      </c>
      <c r="I18" s="757" t="s">
        <v>29</v>
      </c>
      <c r="J18" s="758"/>
    </row>
    <row r="19" spans="1:13" s="13" customFormat="1" ht="17.25" customHeight="1">
      <c r="A19" s="64"/>
      <c r="B19" s="381" t="s">
        <v>386</v>
      </c>
      <c r="C19" s="109"/>
      <c r="D19" s="109"/>
      <c r="E19" s="119" t="s">
        <v>394</v>
      </c>
      <c r="F19" s="304"/>
      <c r="G19" s="304"/>
      <c r="H19" s="387" t="s">
        <v>17</v>
      </c>
      <c r="I19" s="757" t="s">
        <v>24</v>
      </c>
      <c r="J19" s="758"/>
    </row>
    <row r="20" spans="1:13" s="43" customFormat="1" ht="6" customHeight="1" thickBot="1">
      <c r="A20" s="64"/>
      <c r="B20" s="71"/>
      <c r="C20" s="71"/>
      <c r="D20" s="71"/>
      <c r="E20" s="119"/>
      <c r="F20" s="132"/>
      <c r="G20" s="132"/>
      <c r="H20" s="129"/>
      <c r="I20" s="387"/>
      <c r="J20" s="151"/>
    </row>
    <row r="21" spans="1:13" s="43" customFormat="1" ht="17.25" customHeight="1" thickBot="1">
      <c r="A21" s="64"/>
      <c r="B21" s="389" t="s">
        <v>226</v>
      </c>
      <c r="C21" s="71"/>
      <c r="D21" s="71"/>
      <c r="E21" s="120" t="s">
        <v>207</v>
      </c>
      <c r="F21" s="305" t="str">
        <f>IF(F18&lt;&gt;"",+F18,"")</f>
        <v/>
      </c>
      <c r="G21" s="305" t="str">
        <f>IF(G18&lt;&gt;"",+G18,"")</f>
        <v/>
      </c>
      <c r="H21" s="129" t="s">
        <v>53</v>
      </c>
      <c r="I21" s="757" t="s">
        <v>29</v>
      </c>
      <c r="J21" s="758"/>
    </row>
    <row r="22" spans="1:13" s="13" customFormat="1" ht="6" customHeight="1" thickBot="1">
      <c r="A22" s="64"/>
      <c r="B22" s="71"/>
      <c r="C22" s="71"/>
      <c r="D22" s="71"/>
      <c r="E22" s="121"/>
      <c r="F22" s="132"/>
      <c r="G22" s="39"/>
      <c r="H22" s="129"/>
      <c r="I22" s="387"/>
      <c r="J22" s="151"/>
    </row>
    <row r="23" spans="1:13" ht="20.25" customHeight="1" thickBot="1">
      <c r="A23" s="86"/>
      <c r="B23" s="145" t="s">
        <v>387</v>
      </c>
      <c r="C23" s="71"/>
      <c r="D23" s="71"/>
      <c r="E23" s="89"/>
      <c r="F23" s="121" t="s">
        <v>217</v>
      </c>
      <c r="G23" s="347" t="str">
        <f>IF(COUNTBLANK(F21:G21)=0,(F21+G21)/2,"")</f>
        <v/>
      </c>
      <c r="H23" s="129" t="s">
        <v>26</v>
      </c>
      <c r="I23" s="757" t="s">
        <v>29</v>
      </c>
      <c r="J23" s="758"/>
    </row>
    <row r="24" spans="1:13" ht="6" customHeight="1" thickBot="1">
      <c r="A24" s="86"/>
      <c r="B24" s="71"/>
      <c r="C24" s="71"/>
      <c r="D24" s="71"/>
      <c r="E24" s="121"/>
      <c r="F24" s="132"/>
      <c r="G24" s="39"/>
      <c r="H24" s="129"/>
      <c r="I24" s="387"/>
      <c r="J24" s="151"/>
    </row>
    <row r="25" spans="1:13" ht="17.25" customHeight="1" thickBot="1">
      <c r="A25" s="86"/>
      <c r="B25" s="71"/>
      <c r="C25" s="71"/>
      <c r="D25" s="71"/>
      <c r="E25" s="121"/>
      <c r="F25" s="132" t="s">
        <v>33</v>
      </c>
      <c r="G25" s="306" t="str">
        <f>IF(G23&lt;&gt;"",ABS(F21-G21)/G23,"")</f>
        <v/>
      </c>
      <c r="H25" s="393" t="s">
        <v>506</v>
      </c>
      <c r="I25" s="387"/>
      <c r="J25" s="151"/>
    </row>
    <row r="26" spans="1:13" s="13" customFormat="1" ht="21" customHeight="1">
      <c r="A26" s="64"/>
      <c r="B26" s="774" t="s">
        <v>12</v>
      </c>
      <c r="C26" s="774"/>
      <c r="D26" s="124"/>
      <c r="E26" s="89"/>
      <c r="F26" s="89"/>
      <c r="G26" s="37"/>
      <c r="H26" s="129"/>
      <c r="I26" s="152"/>
      <c r="J26" s="151"/>
    </row>
    <row r="27" spans="1:13" s="13" customFormat="1" ht="17.25" customHeight="1">
      <c r="A27" s="64"/>
      <c r="B27" s="764" t="s">
        <v>227</v>
      </c>
      <c r="C27" s="764"/>
      <c r="D27" s="764"/>
      <c r="E27" s="119" t="s">
        <v>208</v>
      </c>
      <c r="F27" s="314"/>
      <c r="G27" s="314"/>
      <c r="H27" s="129" t="s">
        <v>26</v>
      </c>
      <c r="I27" s="757" t="s">
        <v>29</v>
      </c>
      <c r="J27" s="758"/>
      <c r="M27" s="28"/>
    </row>
    <row r="28" spans="1:13" s="13" customFormat="1" ht="17.25" customHeight="1">
      <c r="A28" s="64"/>
      <c r="B28" s="65" t="s">
        <v>337</v>
      </c>
      <c r="C28" s="65"/>
      <c r="D28" s="65"/>
      <c r="E28" s="82" t="s">
        <v>335</v>
      </c>
      <c r="F28" s="315"/>
      <c r="G28" s="315"/>
      <c r="H28" s="129" t="s">
        <v>17</v>
      </c>
      <c r="I28" s="757" t="s">
        <v>24</v>
      </c>
      <c r="J28" s="758"/>
      <c r="K28" s="40"/>
    </row>
    <row r="29" spans="1:13" s="13" customFormat="1" ht="17.25" customHeight="1">
      <c r="A29" s="64"/>
      <c r="B29" s="389" t="s">
        <v>454</v>
      </c>
      <c r="C29" s="65"/>
      <c r="D29" s="65"/>
      <c r="E29" s="82" t="s">
        <v>488</v>
      </c>
      <c r="F29" s="315"/>
      <c r="G29" s="315"/>
      <c r="H29" s="129" t="s">
        <v>17</v>
      </c>
      <c r="I29" s="757" t="s">
        <v>24</v>
      </c>
      <c r="J29" s="758"/>
    </row>
    <row r="30" spans="1:13" s="13" customFormat="1" ht="17.25" customHeight="1">
      <c r="A30" s="64"/>
      <c r="B30" s="389" t="s">
        <v>438</v>
      </c>
      <c r="C30" s="65"/>
      <c r="D30" s="65"/>
      <c r="E30" s="119" t="s">
        <v>467</v>
      </c>
      <c r="F30" s="304"/>
      <c r="G30" s="304"/>
      <c r="H30" s="387" t="s">
        <v>17</v>
      </c>
      <c r="I30" s="757" t="s">
        <v>24</v>
      </c>
      <c r="J30" s="758"/>
    </row>
    <row r="31" spans="1:13" s="13" customFormat="1" ht="6" customHeight="1" thickBot="1">
      <c r="A31" s="64"/>
      <c r="B31" s="65"/>
      <c r="C31" s="124"/>
      <c r="D31" s="124"/>
      <c r="E31" s="82"/>
      <c r="F31" s="381"/>
      <c r="G31" s="156"/>
      <c r="H31" s="129"/>
      <c r="I31" s="152"/>
      <c r="J31" s="151"/>
    </row>
    <row r="32" spans="1:13" ht="17.25" customHeight="1" thickBot="1">
      <c r="A32" s="86"/>
      <c r="B32" s="389" t="s">
        <v>228</v>
      </c>
      <c r="C32" s="125"/>
      <c r="D32" s="126"/>
      <c r="E32" s="119" t="s">
        <v>220</v>
      </c>
      <c r="F32" s="316" t="str">
        <f>IF(COUNT(F17,F27,F29)=3,F17+(F27-F17)*(80-15)/(80-F29),"")</f>
        <v/>
      </c>
      <c r="G32" s="316" t="str">
        <f>IF(COUNT(G17,G27,G29)=3,G17+(G27-G17)*(80-15)/(80-G29),"")</f>
        <v/>
      </c>
      <c r="H32" s="129" t="s">
        <v>26</v>
      </c>
      <c r="I32" s="757" t="s">
        <v>29</v>
      </c>
      <c r="J32" s="758"/>
    </row>
    <row r="33" spans="1:12" ht="6" customHeight="1" thickBot="1">
      <c r="A33" s="86"/>
      <c r="B33" s="65"/>
      <c r="C33" s="125"/>
      <c r="D33" s="126"/>
      <c r="E33" s="121"/>
      <c r="F33" s="156"/>
      <c r="G33" s="44"/>
      <c r="H33" s="129"/>
      <c r="I33" s="387"/>
      <c r="J33" s="388"/>
    </row>
    <row r="34" spans="1:12" ht="20.25" customHeight="1" thickBot="1">
      <c r="A34" s="86"/>
      <c r="B34" s="65"/>
      <c r="C34" s="125"/>
      <c r="D34" s="126"/>
      <c r="E34" s="148"/>
      <c r="F34" s="121" t="s">
        <v>217</v>
      </c>
      <c r="G34" s="347" t="str">
        <f>IF(COUNTBLANK(F32:G32)=0,(F32+G32)/2,"")</f>
        <v/>
      </c>
      <c r="H34" s="129" t="s">
        <v>26</v>
      </c>
      <c r="I34" s="757" t="s">
        <v>29</v>
      </c>
      <c r="J34" s="758"/>
    </row>
    <row r="35" spans="1:12" ht="6" customHeight="1" thickBot="1">
      <c r="A35" s="86"/>
      <c r="B35" s="65"/>
      <c r="C35" s="125"/>
      <c r="D35" s="126"/>
      <c r="E35" s="121"/>
      <c r="F35" s="132"/>
      <c r="G35" s="39"/>
      <c r="H35" s="129"/>
      <c r="I35" s="387"/>
      <c r="J35" s="388"/>
    </row>
    <row r="36" spans="1:12" ht="18" customHeight="1" thickBot="1">
      <c r="A36" s="86"/>
      <c r="B36" s="65"/>
      <c r="C36" s="124"/>
      <c r="D36" s="124"/>
      <c r="E36" s="127"/>
      <c r="F36" s="132" t="s">
        <v>33</v>
      </c>
      <c r="G36" s="306" t="str">
        <f>IF(G34&lt;&gt;"",ABS(F32-G32)/G34,"")</f>
        <v/>
      </c>
      <c r="H36" s="393" t="s">
        <v>506</v>
      </c>
      <c r="I36" s="387"/>
      <c r="J36" s="388"/>
      <c r="L36" s="25"/>
    </row>
    <row r="37" spans="1:12" ht="4.5" hidden="1" customHeight="1" thickBot="1">
      <c r="A37" s="86"/>
      <c r="B37" s="65"/>
      <c r="C37" s="124"/>
      <c r="D37" s="124"/>
      <c r="E37" s="74"/>
      <c r="F37" s="157"/>
      <c r="G37" s="45"/>
      <c r="H37" s="129"/>
      <c r="I37" s="152"/>
      <c r="J37" s="388"/>
    </row>
    <row r="38" spans="1:12" ht="5.25" customHeight="1">
      <c r="A38" s="86"/>
      <c r="B38" s="384"/>
      <c r="C38" s="384"/>
      <c r="D38" s="74"/>
      <c r="E38" s="74"/>
      <c r="F38" s="74"/>
      <c r="G38" s="19"/>
      <c r="H38" s="153"/>
      <c r="I38" s="387"/>
      <c r="J38" s="151"/>
      <c r="L38" s="25"/>
    </row>
    <row r="39" spans="1:12" ht="21" customHeight="1">
      <c r="A39" s="86"/>
      <c r="B39" s="65" t="s">
        <v>221</v>
      </c>
      <c r="C39" s="389"/>
      <c r="D39" s="389"/>
      <c r="E39" s="389"/>
      <c r="F39" s="307" t="str">
        <f>IF(COUNT(F17,F18,F27)=3,MAX(F17,F18,F27),"")</f>
        <v/>
      </c>
      <c r="G39" s="307" t="str">
        <f>IF(COUNT(G17,G18,G27)=3,MAX(G17,G18,G27),"")</f>
        <v/>
      </c>
      <c r="H39" s="129" t="s">
        <v>26</v>
      </c>
      <c r="I39" s="757" t="s">
        <v>29</v>
      </c>
      <c r="J39" s="758"/>
      <c r="L39" s="25"/>
    </row>
    <row r="40" spans="1:12" ht="4.5" customHeight="1">
      <c r="A40" s="86"/>
      <c r="B40" s="384"/>
      <c r="C40" s="384"/>
      <c r="D40" s="74"/>
      <c r="E40" s="74"/>
      <c r="F40" s="272"/>
      <c r="G40" s="272"/>
      <c r="H40" s="153"/>
      <c r="I40" s="387"/>
      <c r="J40" s="151"/>
      <c r="L40" s="25"/>
    </row>
    <row r="41" spans="1:12" ht="21" customHeight="1" thickBot="1">
      <c r="A41" s="86"/>
      <c r="B41" s="104" t="s">
        <v>229</v>
      </c>
      <c r="C41" s="104"/>
      <c r="D41" s="74"/>
      <c r="E41" s="74"/>
      <c r="F41" s="74"/>
      <c r="G41" s="74"/>
      <c r="H41" s="153"/>
      <c r="I41" s="387"/>
      <c r="J41" s="151"/>
      <c r="L41" s="25"/>
    </row>
    <row r="42" spans="1:12" ht="28.5" customHeight="1" thickBot="1">
      <c r="A42" s="86"/>
      <c r="B42" s="762" t="s">
        <v>222</v>
      </c>
      <c r="C42" s="762"/>
      <c r="D42" s="762"/>
      <c r="E42" s="762"/>
      <c r="F42" s="137" t="s">
        <v>445</v>
      </c>
      <c r="G42" s="348" t="str">
        <f>IF(AND(G25&lt;0.1,G36&lt;0.1),IF(COUNT(G23,G34)=2,MAX(G23,G34),""),"")</f>
        <v/>
      </c>
      <c r="H42" s="129" t="s">
        <v>26</v>
      </c>
      <c r="I42" s="757" t="s">
        <v>29</v>
      </c>
      <c r="J42" s="758"/>
    </row>
    <row r="43" spans="1:12" ht="9" customHeight="1">
      <c r="A43" s="86"/>
      <c r="B43" s="389"/>
      <c r="C43" s="389"/>
      <c r="D43" s="389"/>
      <c r="E43" s="389"/>
      <c r="F43" s="161"/>
      <c r="G43" s="162"/>
      <c r="H43" s="129"/>
      <c r="I43" s="387"/>
      <c r="J43" s="388"/>
    </row>
    <row r="44" spans="1:12" ht="17.25" customHeight="1">
      <c r="A44" s="86"/>
      <c r="B44" s="763" t="s">
        <v>172</v>
      </c>
      <c r="C44" s="763"/>
      <c r="D44" s="763"/>
      <c r="E44" s="763"/>
      <c r="F44" s="74"/>
      <c r="G44" s="132"/>
      <c r="H44" s="132"/>
      <c r="I44" s="387"/>
      <c r="J44" s="388"/>
    </row>
    <row r="45" spans="1:12" ht="20.25" customHeight="1">
      <c r="A45" s="64"/>
      <c r="B45" s="65" t="s">
        <v>383</v>
      </c>
      <c r="C45" s="65"/>
      <c r="D45" s="72"/>
      <c r="E45" s="72"/>
      <c r="F45" s="410"/>
      <c r="G45" s="410"/>
      <c r="H45" s="410"/>
      <c r="I45" s="410"/>
      <c r="J45" s="66"/>
    </row>
    <row r="46" spans="1:12" ht="20.25" customHeight="1">
      <c r="A46" s="64"/>
      <c r="B46" s="401"/>
      <c r="C46" s="72"/>
      <c r="D46" s="401"/>
      <c r="E46" s="401"/>
      <c r="F46" s="401"/>
      <c r="G46" s="401"/>
      <c r="H46" s="401"/>
      <c r="I46" s="401"/>
      <c r="J46" s="66"/>
    </row>
    <row r="47" spans="1:12" ht="15" customHeight="1">
      <c r="A47" s="64"/>
      <c r="B47" s="401"/>
      <c r="C47" s="401"/>
      <c r="D47" s="401"/>
      <c r="E47" s="401"/>
      <c r="F47" s="74" t="s">
        <v>27</v>
      </c>
      <c r="G47" s="138" t="s">
        <v>28</v>
      </c>
      <c r="H47" s="72"/>
      <c r="I47" s="401"/>
      <c r="J47" s="66"/>
    </row>
    <row r="48" spans="1:12" ht="16.5" customHeight="1">
      <c r="A48" s="64"/>
      <c r="B48" s="441" t="s">
        <v>353</v>
      </c>
      <c r="C48" s="76"/>
      <c r="D48" s="76"/>
      <c r="E48" s="63" t="s">
        <v>346</v>
      </c>
      <c r="F48" s="309"/>
      <c r="G48" s="309"/>
      <c r="H48" s="426" t="s">
        <v>361</v>
      </c>
      <c r="I48" s="723" t="s">
        <v>25</v>
      </c>
      <c r="J48" s="724"/>
    </row>
    <row r="49" spans="1:12" ht="16.5" customHeight="1">
      <c r="A49" s="64"/>
      <c r="B49" s="441" t="s">
        <v>354</v>
      </c>
      <c r="C49" s="76"/>
      <c r="D49" s="76"/>
      <c r="E49" s="63" t="s">
        <v>347</v>
      </c>
      <c r="F49" s="310"/>
      <c r="G49" s="310"/>
      <c r="H49" s="426" t="s">
        <v>507</v>
      </c>
      <c r="I49" s="387" t="s">
        <v>48</v>
      </c>
      <c r="J49" s="66"/>
    </row>
    <row r="50" spans="1:12" ht="16.5" customHeight="1">
      <c r="A50" s="64"/>
      <c r="B50" s="441" t="s">
        <v>355</v>
      </c>
      <c r="C50" s="441"/>
      <c r="D50" s="441"/>
      <c r="E50" s="63" t="s">
        <v>348</v>
      </c>
      <c r="F50" s="311"/>
      <c r="G50" s="311"/>
      <c r="H50" s="426" t="s">
        <v>137</v>
      </c>
      <c r="I50" s="723" t="s">
        <v>24</v>
      </c>
      <c r="J50" s="724"/>
    </row>
    <row r="51" spans="1:12" ht="16.5" customHeight="1">
      <c r="A51" s="64"/>
      <c r="B51" s="441" t="s">
        <v>356</v>
      </c>
      <c r="C51" s="441"/>
      <c r="D51" s="441"/>
      <c r="E51" s="63" t="s">
        <v>349</v>
      </c>
      <c r="F51" s="312"/>
      <c r="G51" s="312"/>
      <c r="H51" s="426" t="s">
        <v>138</v>
      </c>
      <c r="I51" s="723" t="s">
        <v>29</v>
      </c>
      <c r="J51" s="724"/>
    </row>
    <row r="52" spans="1:12" ht="16.5" customHeight="1">
      <c r="A52" s="64"/>
      <c r="B52" s="442" t="s">
        <v>357</v>
      </c>
      <c r="C52" s="442"/>
      <c r="D52" s="442"/>
      <c r="E52" s="63" t="s">
        <v>350</v>
      </c>
      <c r="F52" s="312"/>
      <c r="G52" s="312"/>
      <c r="H52" s="426" t="s">
        <v>138</v>
      </c>
      <c r="I52" s="723" t="s">
        <v>29</v>
      </c>
      <c r="J52" s="724"/>
    </row>
    <row r="53" spans="1:12" ht="16.5" customHeight="1">
      <c r="A53" s="64"/>
      <c r="B53" s="442" t="s">
        <v>395</v>
      </c>
      <c r="C53" s="442"/>
      <c r="D53" s="442"/>
      <c r="E53" s="63" t="s">
        <v>351</v>
      </c>
      <c r="F53" s="427" t="str">
        <f>IF(COUNTBLANK(F48:F52)=0,IF(F60="乾　式","0.00",10^(7.203-1735.74/(F50+234))),"")</f>
        <v/>
      </c>
      <c r="G53" s="427" t="str">
        <f>IF(COUNTBLANK(G48:G52)=0,IF(F60="乾　式","0.00",10^(7.203-1735.74/(G50+234))),"")</f>
        <v/>
      </c>
      <c r="H53" s="426" t="s">
        <v>138</v>
      </c>
      <c r="I53" s="723" t="s">
        <v>29</v>
      </c>
      <c r="J53" s="724"/>
    </row>
    <row r="54" spans="1:12" ht="10.5" customHeight="1" thickBot="1">
      <c r="A54" s="110"/>
      <c r="B54" s="429"/>
      <c r="C54" s="429"/>
      <c r="D54" s="429"/>
      <c r="E54" s="431"/>
      <c r="F54" s="432"/>
      <c r="G54" s="432"/>
      <c r="H54" s="433"/>
      <c r="I54" s="154"/>
      <c r="J54" s="155"/>
    </row>
    <row r="55" spans="1:12" ht="14.45" customHeight="1" thickBot="1">
      <c r="A55" s="233"/>
      <c r="B55" s="434"/>
      <c r="C55" s="434"/>
      <c r="D55" s="434"/>
      <c r="E55" s="436"/>
      <c r="F55" s="437"/>
      <c r="G55" s="437"/>
      <c r="H55" s="438"/>
      <c r="I55" s="234"/>
      <c r="J55" s="234"/>
    </row>
    <row r="56" spans="1:12" s="13" customFormat="1" ht="18.75" customHeight="1" thickBot="1">
      <c r="A56" s="732" t="s">
        <v>171</v>
      </c>
      <c r="B56" s="733"/>
      <c r="C56" s="733"/>
      <c r="D56" s="733"/>
      <c r="E56" s="733"/>
      <c r="F56" s="733"/>
      <c r="G56" s="733"/>
      <c r="H56" s="733"/>
      <c r="I56" s="733"/>
      <c r="J56" s="734"/>
    </row>
    <row r="57" spans="1:12" s="13" customFormat="1" ht="28.5" customHeight="1" thickTop="1">
      <c r="A57" s="294" t="s">
        <v>179</v>
      </c>
      <c r="B57" s="711" t="str">
        <f>+表紙!B3&amp;"　　（３．立上り性能）"</f>
        <v>アンダーカウンター洗浄機、ドアタイプ洗浄機（選択してください）　　（３．立上り性能）</v>
      </c>
      <c r="C57" s="712"/>
      <c r="D57" s="712"/>
      <c r="E57" s="712"/>
      <c r="F57" s="712"/>
      <c r="G57" s="745"/>
      <c r="H57" s="712" t="str">
        <f>"ガス種："&amp;表紙!$I$11</f>
        <v>ガス種：(選択して下さい)</v>
      </c>
      <c r="I57" s="712"/>
      <c r="J57" s="779"/>
      <c r="K57" s="49"/>
    </row>
    <row r="58" spans="1:12" s="13" customFormat="1" ht="18" customHeight="1" thickBot="1">
      <c r="A58" s="285" t="s">
        <v>378</v>
      </c>
      <c r="B58" s="720" t="str">
        <f>IF(表紙!$B$6=0,"",表紙!$B$6)</f>
        <v/>
      </c>
      <c r="C58" s="720"/>
      <c r="D58" s="720"/>
      <c r="E58" s="722"/>
      <c r="F58" s="374" t="s">
        <v>3</v>
      </c>
      <c r="G58" s="725" t="str">
        <f>IF(表紙!$H$5=0,"",表紙!$H$5)</f>
        <v/>
      </c>
      <c r="H58" s="726"/>
      <c r="I58" s="726"/>
      <c r="J58" s="727"/>
    </row>
    <row r="59" spans="1:12" s="13" customFormat="1" ht="15" customHeight="1">
      <c r="A59" s="80"/>
      <c r="B59" s="74"/>
      <c r="C59" s="112"/>
      <c r="D59" s="112"/>
      <c r="E59" s="139"/>
      <c r="F59" s="146"/>
      <c r="G59" s="111"/>
      <c r="H59" s="146"/>
      <c r="I59" s="139"/>
      <c r="J59" s="150"/>
      <c r="L59" s="42"/>
    </row>
    <row r="60" spans="1:12" ht="20.25" customHeight="1">
      <c r="A60" s="64"/>
      <c r="B60" s="389" t="s">
        <v>472</v>
      </c>
      <c r="C60" s="65"/>
      <c r="D60" s="381"/>
      <c r="E60" s="443"/>
      <c r="F60" s="468" t="s">
        <v>516</v>
      </c>
      <c r="G60" s="401"/>
      <c r="H60" s="439"/>
      <c r="I60" s="401"/>
      <c r="J60" s="66"/>
    </row>
    <row r="61" spans="1:12" ht="20.25" customHeight="1">
      <c r="A61" s="64"/>
      <c r="B61" s="381" t="s">
        <v>343</v>
      </c>
      <c r="C61" s="381"/>
      <c r="D61" s="72"/>
      <c r="E61" s="418"/>
      <c r="F61" s="418"/>
      <c r="G61" s="418"/>
      <c r="H61" s="401"/>
      <c r="I61" s="440"/>
      <c r="J61" s="73"/>
    </row>
    <row r="62" spans="1:12" ht="20.25" customHeight="1">
      <c r="A62" s="64"/>
      <c r="B62" s="381" t="s">
        <v>344</v>
      </c>
      <c r="C62" s="381"/>
      <c r="D62" s="72"/>
      <c r="E62" s="141"/>
      <c r="F62" s="141"/>
      <c r="G62" s="141"/>
      <c r="H62" s="418"/>
      <c r="I62" s="401"/>
      <c r="J62" s="66"/>
    </row>
    <row r="63" spans="1:12" ht="15" customHeight="1">
      <c r="A63" s="64"/>
      <c r="B63" s="729"/>
      <c r="C63" s="730"/>
      <c r="D63" s="730"/>
      <c r="E63" s="730"/>
      <c r="F63" s="730"/>
      <c r="G63" s="730"/>
      <c r="H63" s="74"/>
      <c r="I63" s="65"/>
      <c r="J63" s="101"/>
    </row>
    <row r="64" spans="1:12" ht="15" customHeight="1">
      <c r="A64" s="64"/>
      <c r="B64" s="381"/>
      <c r="C64" s="76"/>
      <c r="D64" s="76"/>
      <c r="E64" s="76"/>
      <c r="F64" s="76"/>
      <c r="G64" s="76"/>
      <c r="H64" s="74"/>
      <c r="I64" s="65"/>
      <c r="J64" s="101"/>
    </row>
    <row r="65" spans="1:19" ht="15" customHeight="1">
      <c r="A65" s="64"/>
      <c r="B65" s="381"/>
      <c r="C65" s="76"/>
      <c r="D65" s="76"/>
      <c r="E65" s="76"/>
      <c r="F65" s="76"/>
      <c r="G65" s="76"/>
      <c r="H65" s="74"/>
      <c r="I65" s="65"/>
      <c r="J65" s="101"/>
    </row>
    <row r="66" spans="1:19" ht="15" customHeight="1">
      <c r="A66" s="64"/>
      <c r="B66" s="381"/>
      <c r="C66" s="76"/>
      <c r="D66" s="76"/>
      <c r="E66" s="76"/>
      <c r="F66" s="74" t="s">
        <v>27</v>
      </c>
      <c r="G66" s="138" t="s">
        <v>28</v>
      </c>
      <c r="H66" s="72"/>
      <c r="I66" s="65"/>
      <c r="J66" s="101"/>
    </row>
    <row r="67" spans="1:19" ht="23.25" customHeight="1">
      <c r="A67" s="64"/>
      <c r="B67" s="784" t="s">
        <v>480</v>
      </c>
      <c r="C67" s="784"/>
      <c r="D67" s="784"/>
      <c r="E67" s="140" t="s">
        <v>397</v>
      </c>
      <c r="F67" s="313" t="str">
        <f>IF(COUNTBLANK(F48:F52)=0,(F48*F49*(F51+F52-F53)*273/3600/101.3/(273+F50)),"")</f>
        <v/>
      </c>
      <c r="G67" s="313" t="str">
        <f>IF(COUNTBLANK(G48:G52)=0,(G48*G49*(G51+G52-G53)*273/3600/101.3/(273+G50)),"")</f>
        <v/>
      </c>
      <c r="H67" s="387" t="s">
        <v>54</v>
      </c>
      <c r="I67" s="723" t="s">
        <v>25</v>
      </c>
      <c r="J67" s="724"/>
      <c r="L67" s="12" t="s">
        <v>149</v>
      </c>
      <c r="M67" s="12">
        <v>15</v>
      </c>
    </row>
    <row r="68" spans="1:19" ht="21" customHeight="1">
      <c r="A68" s="86"/>
      <c r="B68" s="65"/>
      <c r="C68" s="389"/>
      <c r="D68" s="389"/>
      <c r="E68" s="158"/>
      <c r="F68" s="132"/>
      <c r="G68" s="132"/>
      <c r="H68" s="129"/>
      <c r="I68" s="387"/>
      <c r="J68" s="388"/>
    </row>
    <row r="69" spans="1:19" s="13" customFormat="1" ht="23.25" customHeight="1">
      <c r="A69" s="64"/>
      <c r="B69" s="764" t="s">
        <v>452</v>
      </c>
      <c r="C69" s="764"/>
      <c r="D69" s="764"/>
      <c r="E69" s="119" t="s">
        <v>396</v>
      </c>
      <c r="F69" s="337"/>
      <c r="G69" s="337"/>
      <c r="H69" s="385" t="s">
        <v>54</v>
      </c>
      <c r="I69" s="757" t="s">
        <v>25</v>
      </c>
      <c r="J69" s="783"/>
      <c r="M69" s="17"/>
    </row>
    <row r="70" spans="1:19" s="13" customFormat="1" ht="12" customHeight="1">
      <c r="A70" s="64"/>
      <c r="B70" s="159"/>
      <c r="C70" s="159"/>
      <c r="D70" s="159"/>
      <c r="E70" s="121"/>
      <c r="F70" s="444"/>
      <c r="G70" s="444"/>
      <c r="H70" s="385"/>
      <c r="I70" s="387"/>
      <c r="J70" s="390"/>
      <c r="M70" s="17"/>
    </row>
    <row r="71" spans="1:19" s="13" customFormat="1" ht="15" customHeight="1">
      <c r="A71" s="64"/>
      <c r="B71" s="65" t="s">
        <v>90</v>
      </c>
      <c r="C71" s="65"/>
      <c r="D71" s="65"/>
      <c r="E71" s="89"/>
      <c r="F71" s="160"/>
      <c r="G71" s="160"/>
      <c r="H71" s="393"/>
      <c r="I71" s="129"/>
      <c r="J71" s="66"/>
      <c r="M71" s="17"/>
    </row>
    <row r="72" spans="1:19" ht="15" customHeight="1">
      <c r="A72" s="86"/>
      <c r="B72" s="72"/>
      <c r="C72" s="72"/>
      <c r="D72" s="72"/>
      <c r="E72" s="74"/>
      <c r="F72" s="74"/>
      <c r="G72" s="74"/>
      <c r="H72" s="153"/>
      <c r="I72" s="129"/>
      <c r="J72" s="66"/>
    </row>
    <row r="73" spans="1:19" ht="15" customHeight="1">
      <c r="A73" s="86"/>
      <c r="B73" s="72"/>
      <c r="C73" s="74"/>
      <c r="D73" s="74"/>
      <c r="E73" s="72"/>
      <c r="F73" s="72"/>
      <c r="G73" s="72"/>
      <c r="H73" s="72"/>
      <c r="I73" s="65"/>
      <c r="J73" s="66"/>
      <c r="S73" s="28"/>
    </row>
    <row r="74" spans="1:19" ht="15" customHeight="1">
      <c r="A74" s="86"/>
      <c r="B74" s="72"/>
      <c r="C74" s="74"/>
      <c r="D74" s="74"/>
      <c r="E74" s="72"/>
      <c r="F74" s="72"/>
      <c r="G74" s="72"/>
      <c r="H74" s="72"/>
      <c r="I74" s="65"/>
      <c r="J74" s="66"/>
    </row>
    <row r="75" spans="1:19" ht="15" customHeight="1">
      <c r="A75" s="86"/>
      <c r="B75" s="72"/>
      <c r="C75" s="74"/>
      <c r="D75" s="74"/>
      <c r="E75" s="72"/>
      <c r="F75" s="72"/>
      <c r="G75" s="72"/>
      <c r="H75" s="72"/>
      <c r="I75" s="65"/>
      <c r="J75" s="66"/>
    </row>
    <row r="76" spans="1:19" ht="15" customHeight="1">
      <c r="A76" s="86"/>
      <c r="B76" s="72"/>
      <c r="C76" s="65"/>
      <c r="D76" s="65"/>
      <c r="E76" s="65"/>
      <c r="F76" s="65"/>
      <c r="G76" s="65"/>
      <c r="H76" s="65"/>
      <c r="I76" s="65"/>
      <c r="J76" s="66"/>
    </row>
    <row r="77" spans="1:19" ht="15" customHeight="1">
      <c r="A77" s="86"/>
      <c r="B77" s="72"/>
      <c r="C77" s="65"/>
      <c r="D77" s="65"/>
      <c r="E77" s="65"/>
      <c r="F77" s="65"/>
      <c r="G77" s="65"/>
      <c r="H77" s="65"/>
      <c r="I77" s="65"/>
      <c r="J77" s="66"/>
    </row>
    <row r="78" spans="1:19" ht="15" customHeight="1">
      <c r="A78" s="86"/>
      <c r="B78" s="65"/>
      <c r="C78" s="72"/>
      <c r="D78" s="72"/>
      <c r="E78" s="65"/>
      <c r="F78" s="65"/>
      <c r="G78" s="65"/>
      <c r="H78" s="65"/>
      <c r="I78" s="65"/>
      <c r="J78" s="66"/>
    </row>
    <row r="79" spans="1:19" ht="11.25" customHeight="1">
      <c r="A79" s="86"/>
      <c r="B79" s="65"/>
      <c r="C79" s="72"/>
      <c r="D79" s="72"/>
      <c r="E79" s="65"/>
      <c r="F79" s="65"/>
      <c r="G79" s="65"/>
      <c r="H79" s="65"/>
      <c r="I79" s="65"/>
      <c r="J79" s="66"/>
    </row>
    <row r="80" spans="1:19" ht="15" customHeight="1">
      <c r="A80" s="86"/>
      <c r="B80" s="65"/>
      <c r="C80" s="65"/>
      <c r="D80" s="65"/>
      <c r="E80" s="65"/>
      <c r="F80" s="65"/>
      <c r="G80" s="65"/>
      <c r="H80" s="65"/>
      <c r="I80" s="65"/>
      <c r="J80" s="66"/>
    </row>
    <row r="81" spans="1:10" s="13" customFormat="1" ht="15" customHeight="1">
      <c r="A81" s="64"/>
      <c r="B81" s="65"/>
      <c r="C81" s="65"/>
      <c r="D81" s="65"/>
      <c r="E81" s="65"/>
      <c r="F81" s="65"/>
      <c r="G81" s="65"/>
      <c r="H81" s="65"/>
      <c r="I81" s="65"/>
      <c r="J81" s="66"/>
    </row>
    <row r="82" spans="1:10" s="13" customFormat="1" ht="15" customHeight="1">
      <c r="A82" s="64"/>
      <c r="B82" s="65"/>
      <c r="C82" s="65"/>
      <c r="D82" s="65"/>
      <c r="E82" s="65"/>
      <c r="F82" s="65"/>
      <c r="G82" s="65"/>
      <c r="H82" s="65"/>
      <c r="I82" s="65"/>
      <c r="J82" s="66"/>
    </row>
    <row r="83" spans="1:10" s="13" customFormat="1" ht="15" customHeight="1">
      <c r="A83" s="64"/>
      <c r="B83" s="65"/>
      <c r="C83" s="65"/>
      <c r="D83" s="65"/>
      <c r="E83" s="65"/>
      <c r="F83" s="65"/>
      <c r="G83" s="65"/>
      <c r="H83" s="65"/>
      <c r="I83" s="65"/>
      <c r="J83" s="66"/>
    </row>
    <row r="84" spans="1:10" s="13" customFormat="1" ht="15" customHeight="1">
      <c r="A84" s="64"/>
      <c r="B84" s="65"/>
      <c r="C84" s="65"/>
      <c r="D84" s="65"/>
      <c r="E84" s="65"/>
      <c r="F84" s="65"/>
      <c r="G84" s="65"/>
      <c r="H84" s="65"/>
      <c r="I84" s="65"/>
      <c r="J84" s="66"/>
    </row>
    <row r="85" spans="1:10" s="13" customFormat="1" ht="15" customHeight="1">
      <c r="A85" s="64"/>
      <c r="B85" s="65"/>
      <c r="C85" s="65"/>
      <c r="D85" s="65"/>
      <c r="E85" s="65"/>
      <c r="F85" s="65"/>
      <c r="G85" s="65"/>
      <c r="H85" s="65"/>
      <c r="I85" s="65"/>
      <c r="J85" s="66"/>
    </row>
    <row r="86" spans="1:10" s="13" customFormat="1" ht="15" customHeight="1">
      <c r="A86" s="64"/>
      <c r="B86" s="65"/>
      <c r="C86" s="65"/>
      <c r="D86" s="65"/>
      <c r="E86" s="65"/>
      <c r="F86" s="65"/>
      <c r="G86" s="65"/>
      <c r="H86" s="65"/>
      <c r="I86" s="65"/>
      <c r="J86" s="66"/>
    </row>
    <row r="87" spans="1:10" s="13" customFormat="1" ht="15" customHeight="1">
      <c r="A87" s="64"/>
      <c r="B87" s="65"/>
      <c r="C87" s="65"/>
      <c r="D87" s="65"/>
      <c r="E87" s="65"/>
      <c r="F87" s="65"/>
      <c r="G87" s="65"/>
      <c r="H87" s="65"/>
      <c r="I87" s="65"/>
      <c r="J87" s="66"/>
    </row>
    <row r="88" spans="1:10" s="13" customFormat="1" ht="15" customHeight="1">
      <c r="A88" s="64"/>
      <c r="B88" s="65"/>
      <c r="C88" s="65"/>
      <c r="D88" s="65"/>
      <c r="E88" s="65"/>
      <c r="F88" s="65"/>
      <c r="G88" s="65"/>
      <c r="H88" s="65"/>
      <c r="I88" s="65"/>
      <c r="J88" s="66"/>
    </row>
    <row r="89" spans="1:10" s="13" customFormat="1" ht="15" customHeight="1">
      <c r="A89" s="64"/>
      <c r="B89" s="65"/>
      <c r="C89" s="65"/>
      <c r="D89" s="65"/>
      <c r="E89" s="65"/>
      <c r="F89" s="65"/>
      <c r="G89" s="65"/>
      <c r="H89" s="65"/>
      <c r="I89" s="65"/>
      <c r="J89" s="66"/>
    </row>
    <row r="90" spans="1:10" s="13" customFormat="1" ht="15" customHeight="1">
      <c r="A90" s="64"/>
      <c r="B90" s="65"/>
      <c r="C90" s="65"/>
      <c r="D90" s="65"/>
      <c r="E90" s="65"/>
      <c r="F90" s="65"/>
      <c r="G90" s="65"/>
      <c r="H90" s="65"/>
      <c r="I90" s="65"/>
      <c r="J90" s="66"/>
    </row>
    <row r="91" spans="1:10" s="13" customFormat="1" ht="15" customHeight="1">
      <c r="A91" s="64"/>
      <c r="B91" s="65"/>
      <c r="C91" s="65"/>
      <c r="D91" s="65"/>
      <c r="E91" s="65"/>
      <c r="F91" s="65"/>
      <c r="G91" s="65"/>
      <c r="H91" s="65"/>
      <c r="I91" s="65"/>
      <c r="J91" s="66"/>
    </row>
    <row r="92" spans="1:10" s="13" customFormat="1" ht="15" customHeight="1">
      <c r="A92" s="64"/>
      <c r="B92" s="65"/>
      <c r="C92" s="65"/>
      <c r="D92" s="65"/>
      <c r="E92" s="65"/>
      <c r="F92" s="65"/>
      <c r="G92" s="65"/>
      <c r="H92" s="65"/>
      <c r="I92" s="65"/>
      <c r="J92" s="66"/>
    </row>
    <row r="93" spans="1:10" s="13" customFormat="1" ht="15" customHeight="1">
      <c r="A93" s="64"/>
      <c r="B93" s="65"/>
      <c r="C93" s="65"/>
      <c r="D93" s="65"/>
      <c r="E93" s="65"/>
      <c r="F93" s="65"/>
      <c r="G93" s="65"/>
      <c r="H93" s="65"/>
      <c r="I93" s="65"/>
      <c r="J93" s="66"/>
    </row>
    <row r="94" spans="1:10" s="13" customFormat="1" ht="15" customHeight="1">
      <c r="A94" s="64"/>
      <c r="B94" s="65"/>
      <c r="C94" s="65"/>
      <c r="D94" s="65"/>
      <c r="E94" s="65"/>
      <c r="F94" s="65"/>
      <c r="G94" s="65"/>
      <c r="H94" s="65"/>
      <c r="I94" s="65"/>
      <c r="J94" s="66"/>
    </row>
    <row r="95" spans="1:10" s="13" customFormat="1" ht="15" customHeight="1">
      <c r="A95" s="64"/>
      <c r="B95" s="65"/>
      <c r="C95" s="65"/>
      <c r="D95" s="65"/>
      <c r="E95" s="65"/>
      <c r="F95" s="65"/>
      <c r="G95" s="65"/>
      <c r="H95" s="65"/>
      <c r="I95" s="65"/>
      <c r="J95" s="66"/>
    </row>
    <row r="96" spans="1:10" s="13" customFormat="1" ht="15" customHeight="1">
      <c r="A96" s="64"/>
      <c r="B96" s="65"/>
      <c r="C96" s="65"/>
      <c r="D96" s="65"/>
      <c r="E96" s="65"/>
      <c r="F96" s="65"/>
      <c r="G96" s="65"/>
      <c r="H96" s="65"/>
      <c r="I96" s="65"/>
      <c r="J96" s="66"/>
    </row>
    <row r="97" spans="1:10" s="13" customFormat="1" ht="15" customHeight="1">
      <c r="A97" s="64"/>
      <c r="B97" s="65"/>
      <c r="C97" s="65"/>
      <c r="D97" s="65"/>
      <c r="E97" s="65"/>
      <c r="F97" s="65"/>
      <c r="G97" s="65"/>
      <c r="H97" s="65"/>
      <c r="I97" s="65"/>
      <c r="J97" s="66"/>
    </row>
    <row r="98" spans="1:10" s="13" customFormat="1" ht="15" customHeight="1">
      <c r="A98" s="64"/>
      <c r="B98" s="65"/>
      <c r="C98" s="65"/>
      <c r="D98" s="65"/>
      <c r="E98" s="65"/>
      <c r="F98" s="65"/>
      <c r="G98" s="65"/>
      <c r="H98" s="65"/>
      <c r="I98" s="65"/>
      <c r="J98" s="66"/>
    </row>
    <row r="99" spans="1:10" s="13" customFormat="1" ht="15" customHeight="1">
      <c r="A99" s="64"/>
      <c r="B99" s="65"/>
      <c r="C99" s="65"/>
      <c r="D99" s="65"/>
      <c r="E99" s="65"/>
      <c r="F99" s="65"/>
      <c r="G99" s="65"/>
      <c r="H99" s="65"/>
      <c r="I99" s="65"/>
      <c r="J99" s="66"/>
    </row>
    <row r="100" spans="1:10" s="13" customFormat="1" ht="15" customHeight="1">
      <c r="A100" s="64"/>
      <c r="B100" s="65"/>
      <c r="C100" s="65"/>
      <c r="D100" s="65"/>
      <c r="E100" s="65"/>
      <c r="F100" s="65"/>
      <c r="G100" s="65"/>
      <c r="H100" s="65"/>
      <c r="I100" s="65"/>
      <c r="J100" s="66"/>
    </row>
    <row r="101" spans="1:10" s="13" customFormat="1" ht="15" customHeight="1">
      <c r="A101" s="64"/>
      <c r="B101" s="65"/>
      <c r="C101" s="65"/>
      <c r="D101" s="65"/>
      <c r="E101" s="65"/>
      <c r="F101" s="65"/>
      <c r="G101" s="65"/>
      <c r="H101" s="65"/>
      <c r="I101" s="65"/>
      <c r="J101" s="66"/>
    </row>
    <row r="102" spans="1:10" s="13" customFormat="1" ht="15" customHeight="1">
      <c r="A102" s="64"/>
      <c r="B102" s="65"/>
      <c r="C102" s="65"/>
      <c r="D102" s="65"/>
      <c r="E102" s="65"/>
      <c r="F102" s="65"/>
      <c r="G102" s="65"/>
      <c r="H102" s="65"/>
      <c r="I102" s="65"/>
      <c r="J102" s="66"/>
    </row>
    <row r="103" spans="1:10" s="13" customFormat="1" ht="14.45" customHeight="1" thickBot="1">
      <c r="A103" s="110"/>
      <c r="B103" s="96"/>
      <c r="C103" s="96"/>
      <c r="D103" s="96"/>
      <c r="E103" s="96"/>
      <c r="F103" s="96"/>
      <c r="G103" s="96"/>
      <c r="H103" s="96"/>
      <c r="I103" s="96"/>
      <c r="J103" s="102"/>
    </row>
    <row r="104" spans="1:10" ht="9" customHeight="1"/>
  </sheetData>
  <sheetProtection sheet="1" objects="1" scenarios="1" formatCells="0" formatRows="0" insertRows="0" deleteRows="0"/>
  <mergeCells count="46">
    <mergeCell ref="I50:J50"/>
    <mergeCell ref="B69:D69"/>
    <mergeCell ref="I69:J69"/>
    <mergeCell ref="I19:J19"/>
    <mergeCell ref="I30:J30"/>
    <mergeCell ref="I53:J53"/>
    <mergeCell ref="I48:J48"/>
    <mergeCell ref="I29:J29"/>
    <mergeCell ref="I32:J32"/>
    <mergeCell ref="I51:J51"/>
    <mergeCell ref="I52:J52"/>
    <mergeCell ref="I21:J21"/>
    <mergeCell ref="I23:J23"/>
    <mergeCell ref="B26:C26"/>
    <mergeCell ref="I39:J39"/>
    <mergeCell ref="B44:E44"/>
    <mergeCell ref="B27:D27"/>
    <mergeCell ref="I27:J27"/>
    <mergeCell ref="I28:J28"/>
    <mergeCell ref="I34:J34"/>
    <mergeCell ref="B42:E42"/>
    <mergeCell ref="I42:J42"/>
    <mergeCell ref="B9:I15"/>
    <mergeCell ref="B16:C16"/>
    <mergeCell ref="I17:J17"/>
    <mergeCell ref="B18:D18"/>
    <mergeCell ref="I18:J18"/>
    <mergeCell ref="A2:J2"/>
    <mergeCell ref="B4:E4"/>
    <mergeCell ref="G4:J4"/>
    <mergeCell ref="B5:B6"/>
    <mergeCell ref="C5:D5"/>
    <mergeCell ref="E5:E6"/>
    <mergeCell ref="G5:G6"/>
    <mergeCell ref="I5:I6"/>
    <mergeCell ref="C6:D6"/>
    <mergeCell ref="B3:G3"/>
    <mergeCell ref="H3:J3"/>
    <mergeCell ref="B67:D67"/>
    <mergeCell ref="B63:G63"/>
    <mergeCell ref="I67:J67"/>
    <mergeCell ref="A56:J56"/>
    <mergeCell ref="B57:G57"/>
    <mergeCell ref="H57:J57"/>
    <mergeCell ref="B58:E58"/>
    <mergeCell ref="G58:J58"/>
  </mergeCells>
  <phoneticPr fontId="3"/>
  <conditionalFormatting sqref="G25 G36">
    <cfRule type="cellIs" dxfId="8" priority="1" stopIfTrue="1" operator="greaterThan">
      <formula>0.1</formula>
    </cfRule>
  </conditionalFormatting>
  <dataValidations count="1">
    <dataValidation type="list" allowBlank="1" showInputMessage="1" showErrorMessage="1" sqref="F60">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1" manualBreakCount="1">
    <brk id="10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154"/>
  <sheetViews>
    <sheetView showGridLines="0" view="pageBreakPreview" zoomScaleNormal="100" zoomScaleSheetLayoutView="100" workbookViewId="0">
      <selection activeCell="B5" sqref="B5:D5"/>
    </sheetView>
  </sheetViews>
  <sheetFormatPr defaultColWidth="9" defaultRowHeight="13.5"/>
  <cols>
    <col min="1" max="1" width="7.25" style="12" customWidth="1"/>
    <col min="2" max="2" width="2.5" style="12" customWidth="1"/>
    <col min="3" max="3" width="8.125" style="12" customWidth="1"/>
    <col min="4" max="8" width="10.25" style="12" customWidth="1"/>
    <col min="9" max="10" width="10.75" style="12" customWidth="1"/>
    <col min="11" max="11" width="11" style="12" customWidth="1"/>
    <col min="12" max="12" width="9.5" style="12" customWidth="1"/>
    <col min="13" max="16384" width="9" style="12"/>
  </cols>
  <sheetData>
    <row r="1" spans="1:12" ht="14.25" thickBot="1">
      <c r="A1" s="107"/>
      <c r="B1" s="107"/>
      <c r="C1" s="107"/>
      <c r="D1" s="107"/>
      <c r="E1" s="107"/>
      <c r="F1" s="107"/>
      <c r="G1" s="107"/>
      <c r="H1" s="107"/>
      <c r="I1" s="107"/>
      <c r="J1" s="107"/>
    </row>
    <row r="2" spans="1:12" s="13" customFormat="1" ht="19.5" customHeight="1" thickBot="1">
      <c r="A2" s="732" t="s">
        <v>165</v>
      </c>
      <c r="B2" s="733"/>
      <c r="C2" s="733"/>
      <c r="D2" s="733"/>
      <c r="E2" s="733"/>
      <c r="F2" s="733"/>
      <c r="G2" s="733"/>
      <c r="H2" s="733"/>
      <c r="I2" s="733"/>
      <c r="J2" s="734"/>
    </row>
    <row r="3" spans="1:12" s="13" customFormat="1" ht="28.5" customHeight="1" thickTop="1">
      <c r="A3" s="14" t="s">
        <v>179</v>
      </c>
      <c r="B3" s="711" t="str">
        <f>+表紙!B3&amp;"　　（４．処理能力）"</f>
        <v>アンダーカウンター洗浄機、ドアタイプ洗浄機（選択してください）　　（４．処理能力）</v>
      </c>
      <c r="C3" s="712"/>
      <c r="D3" s="712"/>
      <c r="E3" s="712"/>
      <c r="F3" s="712"/>
      <c r="G3" s="712"/>
      <c r="H3" s="745"/>
      <c r="I3" s="712" t="str">
        <f>"ガス種："&amp;表紙!$I$11</f>
        <v>ガス種：(選択して下さい)</v>
      </c>
      <c r="J3" s="779"/>
    </row>
    <row r="4" spans="1:12" s="13" customFormat="1" ht="18" customHeight="1" thickBot="1">
      <c r="A4" s="15" t="s">
        <v>378</v>
      </c>
      <c r="B4" s="786" t="str">
        <f>IF(表紙!$B$6=0,"",表紙!$B$6)</f>
        <v/>
      </c>
      <c r="C4" s="720"/>
      <c r="D4" s="720"/>
      <c r="E4" s="720"/>
      <c r="F4" s="787"/>
      <c r="G4" s="374" t="s">
        <v>3</v>
      </c>
      <c r="H4" s="725" t="str">
        <f>IF(表紙!$H$5=0,"",表紙!$H$5)</f>
        <v/>
      </c>
      <c r="I4" s="726"/>
      <c r="J4" s="727"/>
    </row>
    <row r="5" spans="1:12" s="13" customFormat="1" ht="18" customHeight="1" thickBot="1">
      <c r="A5" s="287" t="s">
        <v>35</v>
      </c>
      <c r="B5" s="752"/>
      <c r="C5" s="753"/>
      <c r="D5" s="754"/>
      <c r="E5" s="46" t="s">
        <v>38</v>
      </c>
      <c r="F5" s="282"/>
      <c r="G5" s="46" t="s">
        <v>36</v>
      </c>
      <c r="H5" s="282"/>
      <c r="I5" s="46" t="s">
        <v>37</v>
      </c>
      <c r="J5" s="288"/>
    </row>
    <row r="6" spans="1:12" s="13" customFormat="1" ht="15" customHeight="1">
      <c r="A6" s="80"/>
      <c r="B6" s="74"/>
      <c r="C6" s="74"/>
      <c r="D6" s="74"/>
      <c r="E6" s="272"/>
      <c r="F6" s="115"/>
      <c r="G6" s="74"/>
      <c r="H6" s="115"/>
      <c r="I6" s="272"/>
      <c r="J6" s="445"/>
    </row>
    <row r="7" spans="1:12" s="13" customFormat="1" ht="15.6" customHeight="1">
      <c r="A7" s="80"/>
      <c r="B7" s="717" t="s">
        <v>398</v>
      </c>
      <c r="C7" s="717"/>
      <c r="D7" s="717"/>
      <c r="E7" s="717"/>
      <c r="F7" s="717"/>
      <c r="G7" s="717"/>
      <c r="H7" s="717"/>
      <c r="I7" s="717"/>
      <c r="J7" s="788"/>
      <c r="K7" s="43"/>
      <c r="L7" s="43"/>
    </row>
    <row r="8" spans="1:12" s="13" customFormat="1" ht="15.6" customHeight="1">
      <c r="A8" s="80"/>
      <c r="B8" s="717"/>
      <c r="C8" s="717"/>
      <c r="D8" s="717"/>
      <c r="E8" s="717"/>
      <c r="F8" s="717"/>
      <c r="G8" s="717"/>
      <c r="H8" s="717"/>
      <c r="I8" s="717"/>
      <c r="J8" s="788"/>
      <c r="K8" s="43"/>
      <c r="L8" s="43"/>
    </row>
    <row r="9" spans="1:12" s="13" customFormat="1" ht="15.6" customHeight="1">
      <c r="A9" s="80"/>
      <c r="B9" s="717"/>
      <c r="C9" s="717"/>
      <c r="D9" s="717"/>
      <c r="E9" s="717"/>
      <c r="F9" s="717"/>
      <c r="G9" s="717"/>
      <c r="H9" s="717"/>
      <c r="I9" s="717"/>
      <c r="J9" s="788"/>
      <c r="K9" s="43"/>
      <c r="L9" s="43"/>
    </row>
    <row r="10" spans="1:12" s="13" customFormat="1" ht="15.6" customHeight="1">
      <c r="A10" s="80"/>
      <c r="B10" s="717"/>
      <c r="C10" s="717"/>
      <c r="D10" s="717"/>
      <c r="E10" s="717"/>
      <c r="F10" s="717"/>
      <c r="G10" s="717"/>
      <c r="H10" s="717"/>
      <c r="I10" s="717"/>
      <c r="J10" s="788"/>
      <c r="K10" s="43"/>
      <c r="L10" s="43"/>
    </row>
    <row r="11" spans="1:12" s="13" customFormat="1" ht="15.6" customHeight="1">
      <c r="A11" s="80"/>
      <c r="B11" s="717"/>
      <c r="C11" s="717"/>
      <c r="D11" s="717"/>
      <c r="E11" s="717"/>
      <c r="F11" s="717"/>
      <c r="G11" s="717"/>
      <c r="H11" s="717"/>
      <c r="I11" s="717"/>
      <c r="J11" s="788"/>
      <c r="K11" s="43"/>
      <c r="L11" s="43"/>
    </row>
    <row r="12" spans="1:12" s="13" customFormat="1" ht="15.6" customHeight="1">
      <c r="A12" s="80"/>
      <c r="B12" s="717"/>
      <c r="C12" s="717"/>
      <c r="D12" s="717"/>
      <c r="E12" s="717"/>
      <c r="F12" s="717"/>
      <c r="G12" s="717"/>
      <c r="H12" s="717"/>
      <c r="I12" s="717"/>
      <c r="J12" s="788"/>
      <c r="K12" s="43"/>
      <c r="L12" s="43"/>
    </row>
    <row r="13" spans="1:12" s="13" customFormat="1" ht="15.6" customHeight="1">
      <c r="A13" s="80"/>
      <c r="B13" s="717"/>
      <c r="C13" s="717"/>
      <c r="D13" s="717"/>
      <c r="E13" s="717"/>
      <c r="F13" s="717"/>
      <c r="G13" s="717"/>
      <c r="H13" s="717"/>
      <c r="I13" s="717"/>
      <c r="J13" s="788"/>
      <c r="K13" s="43"/>
      <c r="L13" s="43"/>
    </row>
    <row r="14" spans="1:12" s="13" customFormat="1" ht="15.6" customHeight="1">
      <c r="A14" s="80"/>
      <c r="B14" s="717"/>
      <c r="C14" s="717"/>
      <c r="D14" s="717"/>
      <c r="E14" s="717"/>
      <c r="F14" s="717"/>
      <c r="G14" s="717"/>
      <c r="H14" s="717"/>
      <c r="I14" s="717"/>
      <c r="J14" s="788"/>
      <c r="K14" s="43"/>
      <c r="L14" s="43"/>
    </row>
    <row r="15" spans="1:12" s="13" customFormat="1" ht="15.6" customHeight="1">
      <c r="A15" s="80"/>
      <c r="B15" s="717"/>
      <c r="C15" s="717"/>
      <c r="D15" s="717"/>
      <c r="E15" s="717"/>
      <c r="F15" s="717"/>
      <c r="G15" s="717"/>
      <c r="H15" s="717"/>
      <c r="I15" s="717"/>
      <c r="J15" s="788"/>
      <c r="K15" s="43"/>
      <c r="L15" s="43"/>
    </row>
    <row r="16" spans="1:12" s="13" customFormat="1" ht="15.6" customHeight="1">
      <c r="A16" s="80"/>
      <c r="B16" s="717"/>
      <c r="C16" s="717"/>
      <c r="D16" s="717"/>
      <c r="E16" s="717"/>
      <c r="F16" s="717"/>
      <c r="G16" s="717"/>
      <c r="H16" s="717"/>
      <c r="I16" s="717"/>
      <c r="J16" s="788"/>
      <c r="K16" s="43"/>
      <c r="L16" s="43"/>
    </row>
    <row r="17" spans="1:17" s="13" customFormat="1" ht="15.6" customHeight="1">
      <c r="A17" s="70"/>
      <c r="B17" s="717"/>
      <c r="C17" s="717"/>
      <c r="D17" s="717"/>
      <c r="E17" s="717"/>
      <c r="F17" s="717"/>
      <c r="G17" s="717"/>
      <c r="H17" s="717"/>
      <c r="I17" s="717"/>
      <c r="J17" s="788"/>
      <c r="K17" s="43"/>
      <c r="L17" s="43"/>
    </row>
    <row r="18" spans="1:17" s="13" customFormat="1" ht="15.6" customHeight="1">
      <c r="A18" s="64"/>
      <c r="B18" s="717"/>
      <c r="C18" s="717"/>
      <c r="D18" s="717"/>
      <c r="E18" s="717"/>
      <c r="F18" s="717"/>
      <c r="G18" s="717"/>
      <c r="H18" s="717"/>
      <c r="I18" s="717"/>
      <c r="J18" s="788"/>
      <c r="K18" s="43"/>
      <c r="L18" s="43"/>
    </row>
    <row r="19" spans="1:17" s="13" customFormat="1" ht="15.6" customHeight="1">
      <c r="A19" s="64"/>
      <c r="B19" s="164"/>
      <c r="C19" s="164"/>
      <c r="D19" s="164"/>
      <c r="E19" s="164"/>
      <c r="F19" s="164"/>
      <c r="G19" s="164"/>
      <c r="H19" s="164"/>
      <c r="I19" s="164"/>
      <c r="J19" s="213"/>
      <c r="K19" s="43"/>
      <c r="L19" s="43"/>
    </row>
    <row r="20" spans="1:17" s="13" customFormat="1" ht="16.5" customHeight="1">
      <c r="A20" s="64"/>
      <c r="B20" s="379"/>
      <c r="C20" s="389" t="s">
        <v>341</v>
      </c>
      <c r="D20" s="379"/>
      <c r="E20" s="379"/>
      <c r="F20" s="379"/>
      <c r="G20" s="165" t="s">
        <v>233</v>
      </c>
      <c r="H20" s="469"/>
      <c r="I20" s="393" t="s">
        <v>110</v>
      </c>
      <c r="J20" s="199" t="s">
        <v>48</v>
      </c>
    </row>
    <row r="21" spans="1:17" s="13" customFormat="1" ht="17.25" customHeight="1">
      <c r="A21" s="64"/>
      <c r="B21" s="65"/>
      <c r="C21" s="381" t="s">
        <v>230</v>
      </c>
      <c r="D21" s="74"/>
      <c r="E21" s="74"/>
      <c r="F21" s="74"/>
      <c r="G21" s="119" t="s">
        <v>234</v>
      </c>
      <c r="H21" s="317" t="str">
        <f>IF(+表紙!I14&lt;&gt;"",+表紙!I14,"")</f>
        <v/>
      </c>
      <c r="I21" s="129" t="s">
        <v>86</v>
      </c>
      <c r="J21" s="199" t="s">
        <v>48</v>
      </c>
    </row>
    <row r="22" spans="1:17" s="13" customFormat="1" ht="17.25" customHeight="1">
      <c r="A22" s="64"/>
      <c r="B22" s="65"/>
      <c r="C22" s="381" t="s">
        <v>231</v>
      </c>
      <c r="D22" s="74"/>
      <c r="E22" s="74"/>
      <c r="F22" s="74"/>
      <c r="G22" s="119" t="s">
        <v>235</v>
      </c>
      <c r="H22" s="318"/>
      <c r="I22" s="129" t="s">
        <v>86</v>
      </c>
      <c r="J22" s="199" t="s">
        <v>48</v>
      </c>
    </row>
    <row r="23" spans="1:17" s="13" customFormat="1" ht="17.25" customHeight="1">
      <c r="A23" s="64"/>
      <c r="B23" s="65"/>
      <c r="C23" s="381" t="s">
        <v>237</v>
      </c>
      <c r="D23" s="74"/>
      <c r="E23" s="74"/>
      <c r="F23" s="74"/>
      <c r="G23" s="119" t="s">
        <v>236</v>
      </c>
      <c r="H23" s="319">
        <v>5</v>
      </c>
      <c r="I23" s="129" t="s">
        <v>86</v>
      </c>
      <c r="J23" s="199"/>
    </row>
    <row r="24" spans="1:17" s="13" customFormat="1" ht="17.25" customHeight="1">
      <c r="A24" s="64"/>
      <c r="B24" s="65"/>
      <c r="C24" s="389" t="s">
        <v>232</v>
      </c>
      <c r="D24" s="65"/>
      <c r="E24" s="74"/>
      <c r="F24" s="74"/>
      <c r="G24" s="65"/>
      <c r="H24" s="65"/>
      <c r="I24" s="65"/>
      <c r="J24" s="199"/>
    </row>
    <row r="25" spans="1:17" s="13" customFormat="1" ht="17.25" customHeight="1">
      <c r="A25" s="64"/>
      <c r="B25" s="65"/>
      <c r="C25" s="389" t="s">
        <v>106</v>
      </c>
      <c r="D25" s="65"/>
      <c r="E25" s="74"/>
      <c r="F25" s="74"/>
      <c r="G25" s="65"/>
      <c r="H25" s="65"/>
      <c r="I25" s="65"/>
      <c r="J25" s="199"/>
    </row>
    <row r="26" spans="1:17" s="13" customFormat="1" ht="15" customHeight="1">
      <c r="A26" s="64"/>
      <c r="B26" s="65"/>
      <c r="C26" s="65"/>
      <c r="D26" s="74" t="s">
        <v>49</v>
      </c>
      <c r="E26" s="74" t="s">
        <v>50</v>
      </c>
      <c r="F26" s="74" t="s">
        <v>51</v>
      </c>
      <c r="G26" s="74" t="s">
        <v>52</v>
      </c>
      <c r="H26" s="74" t="s">
        <v>85</v>
      </c>
      <c r="I26" s="65"/>
      <c r="J26" s="199"/>
    </row>
    <row r="27" spans="1:17" s="13" customFormat="1" ht="17.25" customHeight="1">
      <c r="A27" s="64"/>
      <c r="B27" s="65"/>
      <c r="C27" s="119" t="s">
        <v>238</v>
      </c>
      <c r="D27" s="320"/>
      <c r="E27" s="320"/>
      <c r="F27" s="320"/>
      <c r="G27" s="320"/>
      <c r="H27" s="320"/>
      <c r="I27" s="129" t="s">
        <v>86</v>
      </c>
      <c r="J27" s="214" t="s">
        <v>48</v>
      </c>
      <c r="L27" s="30"/>
      <c r="M27" s="30"/>
      <c r="N27" s="30"/>
      <c r="O27" s="30"/>
      <c r="P27" s="30"/>
      <c r="Q27" s="43"/>
    </row>
    <row r="28" spans="1:17" s="13" customFormat="1" ht="6" customHeight="1" thickBot="1">
      <c r="A28" s="64"/>
      <c r="B28" s="65"/>
      <c r="C28" s="121"/>
      <c r="D28" s="321"/>
      <c r="E28" s="321"/>
      <c r="F28" s="321"/>
      <c r="G28" s="321"/>
      <c r="H28" s="321"/>
      <c r="I28" s="129"/>
      <c r="J28" s="214"/>
    </row>
    <row r="29" spans="1:17" s="13" customFormat="1" ht="16.5" customHeight="1" thickBot="1">
      <c r="A29" s="64"/>
      <c r="B29" s="65"/>
      <c r="C29" s="65"/>
      <c r="D29" s="65"/>
      <c r="E29" s="65"/>
      <c r="F29" s="65"/>
      <c r="G29" s="121" t="s">
        <v>239</v>
      </c>
      <c r="H29" s="322" t="str">
        <f>IF(COUNTBLANK(D27:H27)=0,SUM(D27:H27)/5,"")</f>
        <v/>
      </c>
      <c r="I29" s="129" t="s">
        <v>86</v>
      </c>
      <c r="J29" s="214" t="s">
        <v>24</v>
      </c>
    </row>
    <row r="30" spans="1:17" s="13" customFormat="1" ht="5.25" customHeight="1">
      <c r="A30" s="64"/>
      <c r="B30" s="65"/>
      <c r="C30" s="65"/>
      <c r="D30" s="65"/>
      <c r="E30" s="65"/>
      <c r="F30" s="65"/>
      <c r="G30" s="121"/>
      <c r="H30" s="132"/>
      <c r="I30" s="129"/>
      <c r="J30" s="214"/>
    </row>
    <row r="31" spans="1:17" s="13" customFormat="1" ht="17.25" customHeight="1" thickBot="1">
      <c r="A31" s="64"/>
      <c r="B31" s="65"/>
      <c r="C31" s="389" t="s">
        <v>338</v>
      </c>
      <c r="D31" s="65"/>
      <c r="E31" s="65"/>
      <c r="F31" s="65"/>
      <c r="G31" s="121"/>
      <c r="H31" s="132"/>
      <c r="I31" s="129"/>
      <c r="J31" s="214"/>
    </row>
    <row r="32" spans="1:17" s="13" customFormat="1" ht="17.25" customHeight="1" thickBot="1">
      <c r="A32" s="64"/>
      <c r="B32" s="65"/>
      <c r="C32" s="119" t="s">
        <v>481</v>
      </c>
      <c r="D32" s="315"/>
      <c r="E32" s="315"/>
      <c r="F32" s="315"/>
      <c r="G32" s="315"/>
      <c r="H32" s="315"/>
      <c r="I32" s="129" t="s">
        <v>17</v>
      </c>
      <c r="J32" s="214" t="s">
        <v>24</v>
      </c>
      <c r="L32" s="235" t="s">
        <v>150</v>
      </c>
      <c r="M32" s="236" t="b">
        <f>IF(表紙!$G$16="選択してください","",IF(表紙!$G$16="A.給湯(標準温度:60℃)を接続し、立上り時の給湯が洗浄タンクに直接入る場合",IF('3.立上り性能A'!N70&lt;&gt;"",'3.立上り性能A'!N70,""),IF(表紙!$G$16="B.給湯(標準温度:60℃)を接続し、立上り時の給湯が仕上げすすぎﾀﾝｸに入る場合",IF('3.立上り性能B'!M67&lt;&gt;"",'3.立上り性能B'!M67,""),IF(表紙!$G$16="C.給水(標準温度:15℃)を接続する場合",IF('3.立上り性能C'!M67&lt;&gt;"",'3.立上り性能C'!M67,"")))))</f>
        <v>0</v>
      </c>
      <c r="N32" s="13" t="str">
        <f>IF($M$32=60,"給湯温",IF($M$32=15,"給水温","空水温"))</f>
        <v>空水温</v>
      </c>
      <c r="P32" s="17"/>
    </row>
    <row r="33" spans="1:18" s="13" customFormat="1" ht="6" customHeight="1" thickBot="1">
      <c r="A33" s="64"/>
      <c r="B33" s="65"/>
      <c r="C33" s="167"/>
      <c r="D33" s="170"/>
      <c r="E33" s="170"/>
      <c r="F33" s="170"/>
      <c r="G33" s="170"/>
      <c r="H33" s="170"/>
      <c r="I33" s="129"/>
      <c r="J33" s="214"/>
      <c r="O33" s="17"/>
      <c r="P33" s="17"/>
      <c r="Q33" s="17"/>
    </row>
    <row r="34" spans="1:18" s="13" customFormat="1" ht="16.5" customHeight="1" thickBot="1">
      <c r="A34" s="64"/>
      <c r="B34" s="65"/>
      <c r="C34" s="167"/>
      <c r="D34" s="170"/>
      <c r="E34" s="170"/>
      <c r="F34" s="170"/>
      <c r="G34" s="119" t="s">
        <v>483</v>
      </c>
      <c r="H34" s="322" t="str">
        <f>IF(COUNTBLANK(D32:H32)=0,SUM(D32:H32)/5,"")</f>
        <v/>
      </c>
      <c r="I34" s="129" t="s">
        <v>17</v>
      </c>
      <c r="J34" s="214" t="s">
        <v>24</v>
      </c>
      <c r="O34" s="60"/>
      <c r="P34" s="60"/>
      <c r="Q34" s="60"/>
    </row>
    <row r="35" spans="1:18" s="13" customFormat="1" ht="4.5" customHeight="1">
      <c r="A35" s="64"/>
      <c r="B35" s="65"/>
      <c r="C35" s="167"/>
      <c r="D35" s="170"/>
      <c r="E35" s="170"/>
      <c r="F35" s="170"/>
      <c r="G35" s="167"/>
      <c r="H35" s="171"/>
      <c r="I35" s="129"/>
      <c r="J35" s="214"/>
    </row>
    <row r="36" spans="1:18" s="13" customFormat="1" ht="17.25" customHeight="1">
      <c r="A36" s="64"/>
      <c r="B36" s="65"/>
      <c r="C36" s="389" t="s">
        <v>339</v>
      </c>
      <c r="D36" s="65"/>
      <c r="E36" s="74"/>
      <c r="F36" s="74"/>
      <c r="G36" s="65"/>
      <c r="H36" s="65"/>
      <c r="I36" s="129"/>
      <c r="J36" s="214"/>
    </row>
    <row r="37" spans="1:18" s="13" customFormat="1" ht="17.25" customHeight="1">
      <c r="A37" s="64"/>
      <c r="B37" s="65"/>
      <c r="C37" s="82" t="s">
        <v>399</v>
      </c>
      <c r="D37" s="315"/>
      <c r="E37" s="315"/>
      <c r="F37" s="315"/>
      <c r="G37" s="315"/>
      <c r="H37" s="315"/>
      <c r="I37" s="129" t="s">
        <v>17</v>
      </c>
      <c r="J37" s="214" t="s">
        <v>24</v>
      </c>
    </row>
    <row r="38" spans="1:18" s="13" customFormat="1" ht="7.5" customHeight="1" thickBot="1">
      <c r="A38" s="64"/>
      <c r="B38" s="65"/>
      <c r="C38" s="167"/>
      <c r="D38" s="170"/>
      <c r="E38" s="170"/>
      <c r="F38" s="170"/>
      <c r="G38" s="170"/>
      <c r="H38" s="170"/>
      <c r="I38" s="129"/>
      <c r="J38" s="214"/>
    </row>
    <row r="39" spans="1:18" s="13" customFormat="1" ht="17.25" customHeight="1" thickBot="1">
      <c r="A39" s="64"/>
      <c r="B39" s="65"/>
      <c r="C39" s="167"/>
      <c r="D39" s="170"/>
      <c r="E39" s="170"/>
      <c r="F39" s="170"/>
      <c r="G39" s="167" t="s">
        <v>400</v>
      </c>
      <c r="H39" s="322" t="str">
        <f>IF(COUNTBLANK(D37:H37)=0,SUM(D37:H37)/5,"")</f>
        <v/>
      </c>
      <c r="I39" s="129" t="s">
        <v>17</v>
      </c>
      <c r="J39" s="214" t="s">
        <v>24</v>
      </c>
    </row>
    <row r="40" spans="1:18" s="13" customFormat="1" ht="5.25" customHeight="1">
      <c r="A40" s="64"/>
      <c r="B40" s="65"/>
      <c r="C40" s="167"/>
      <c r="D40" s="170"/>
      <c r="E40" s="170"/>
      <c r="F40" s="170"/>
      <c r="G40" s="170"/>
      <c r="H40" s="132"/>
      <c r="I40" s="129"/>
      <c r="J40" s="199"/>
    </row>
    <row r="41" spans="1:18" s="13" customFormat="1" ht="24" customHeight="1">
      <c r="A41" s="64"/>
      <c r="B41" s="93" t="s">
        <v>173</v>
      </c>
      <c r="C41" s="65"/>
      <c r="D41" s="65"/>
      <c r="E41" s="65"/>
      <c r="F41" s="65"/>
      <c r="G41" s="65"/>
      <c r="H41" s="65"/>
      <c r="I41" s="169"/>
      <c r="J41" s="199"/>
      <c r="M41" s="17"/>
      <c r="N41" s="19"/>
      <c r="O41" s="19"/>
      <c r="P41" s="19"/>
      <c r="Q41" s="19"/>
      <c r="R41" s="47"/>
    </row>
    <row r="42" spans="1:18" s="13" customFormat="1" ht="13.5" customHeight="1">
      <c r="A42" s="64"/>
      <c r="B42" s="65"/>
      <c r="C42" s="65" t="s">
        <v>142</v>
      </c>
      <c r="D42" s="65"/>
      <c r="E42" s="65"/>
      <c r="F42" s="65" t="s">
        <v>143</v>
      </c>
      <c r="G42" s="65"/>
      <c r="H42" s="65"/>
      <c r="I42" s="169"/>
      <c r="J42" s="199"/>
      <c r="M42" s="17"/>
      <c r="N42" s="19"/>
      <c r="O42" s="19"/>
      <c r="P42" s="19"/>
      <c r="Q42" s="19"/>
      <c r="R42" s="47"/>
    </row>
    <row r="43" spans="1:18" s="13" customFormat="1" ht="17.25" customHeight="1">
      <c r="A43" s="64"/>
      <c r="B43" s="65"/>
      <c r="C43" s="65"/>
      <c r="D43" s="74"/>
      <c r="E43" s="74"/>
      <c r="F43" s="65"/>
      <c r="G43" s="89"/>
      <c r="H43" s="166"/>
      <c r="I43" s="129"/>
      <c r="J43" s="390"/>
      <c r="M43" s="17"/>
      <c r="N43" s="17"/>
      <c r="O43" s="17"/>
      <c r="P43" s="17"/>
      <c r="Q43" s="17"/>
      <c r="R43" s="17"/>
    </row>
    <row r="44" spans="1:18" s="13" customFormat="1" ht="17.25" customHeight="1">
      <c r="A44" s="64"/>
      <c r="B44" s="65"/>
      <c r="C44" s="172"/>
      <c r="D44" s="74"/>
      <c r="E44" s="74"/>
      <c r="F44" s="65"/>
      <c r="G44" s="89"/>
      <c r="H44" s="173"/>
      <c r="I44" s="129"/>
      <c r="J44" s="390"/>
      <c r="M44" s="21"/>
      <c r="N44" s="24"/>
      <c r="O44" s="17"/>
      <c r="P44" s="17"/>
      <c r="Q44" s="17"/>
      <c r="R44" s="17"/>
    </row>
    <row r="45" spans="1:18" s="13" customFormat="1" ht="17.25" customHeight="1">
      <c r="A45" s="64"/>
      <c r="B45" s="65"/>
      <c r="C45" s="65"/>
      <c r="D45" s="74"/>
      <c r="E45" s="74"/>
      <c r="F45" s="65"/>
      <c r="G45" s="89"/>
      <c r="H45" s="173"/>
      <c r="I45" s="129"/>
      <c r="J45" s="199"/>
      <c r="M45" s="21"/>
      <c r="N45" s="24"/>
      <c r="O45" s="17"/>
      <c r="P45" s="17"/>
      <c r="Q45" s="17"/>
      <c r="R45" s="17"/>
    </row>
    <row r="46" spans="1:18" s="13" customFormat="1" ht="15" customHeight="1">
      <c r="A46" s="64"/>
      <c r="B46" s="65"/>
      <c r="C46" s="65"/>
      <c r="D46" s="74"/>
      <c r="E46" s="74"/>
      <c r="F46" s="74"/>
      <c r="G46" s="121"/>
      <c r="H46" s="156"/>
      <c r="I46" s="129"/>
      <c r="J46" s="199"/>
      <c r="M46" s="21"/>
      <c r="N46" s="32"/>
      <c r="O46" s="17"/>
      <c r="P46" s="17"/>
      <c r="Q46" s="17"/>
      <c r="R46" s="17"/>
    </row>
    <row r="47" spans="1:18" s="13" customFormat="1" ht="15" customHeight="1" thickBot="1">
      <c r="A47" s="64"/>
      <c r="B47" s="65"/>
      <c r="C47" s="65"/>
      <c r="D47" s="65"/>
      <c r="E47" s="65"/>
      <c r="F47" s="65"/>
      <c r="G47" s="65"/>
      <c r="H47" s="65"/>
      <c r="I47" s="65"/>
      <c r="J47" s="199"/>
      <c r="M47" s="21"/>
      <c r="N47" s="32"/>
      <c r="O47" s="17"/>
      <c r="P47" s="17"/>
      <c r="Q47" s="17"/>
      <c r="R47" s="17"/>
    </row>
    <row r="48" spans="1:18" s="13" customFormat="1" ht="18" customHeight="1" thickBot="1">
      <c r="A48" s="64"/>
      <c r="B48" s="65"/>
      <c r="C48" s="65"/>
      <c r="D48" s="74"/>
      <c r="E48" s="74"/>
      <c r="F48" s="65"/>
      <c r="G48" s="89" t="s">
        <v>109</v>
      </c>
      <c r="H48" s="323" t="str">
        <f>IF(COUNT(H21,H22,H34,H39)=4,INT((H21+H22)*(82-$M$32)/(H39-H34)+0.99),"")</f>
        <v/>
      </c>
      <c r="I48" s="129" t="s">
        <v>47</v>
      </c>
      <c r="J48" s="390" t="s">
        <v>48</v>
      </c>
      <c r="M48" s="21"/>
      <c r="N48" s="32"/>
      <c r="O48" s="17"/>
      <c r="P48" s="17"/>
      <c r="Q48" s="17"/>
      <c r="R48" s="17"/>
    </row>
    <row r="49" spans="1:18" s="13" customFormat="1" ht="18.75" customHeight="1" thickBot="1">
      <c r="A49" s="64"/>
      <c r="B49" s="65"/>
      <c r="C49" s="172"/>
      <c r="D49" s="74"/>
      <c r="E49" s="74"/>
      <c r="F49" s="65"/>
      <c r="G49" s="89" t="s">
        <v>109</v>
      </c>
      <c r="H49" s="323" t="str">
        <f>IF(COUNT(H21,H29)=2,INT((H21+H29)+0.99),"")</f>
        <v/>
      </c>
      <c r="I49" s="129" t="s">
        <v>47</v>
      </c>
      <c r="J49" s="390" t="s">
        <v>48</v>
      </c>
      <c r="M49" s="21"/>
      <c r="N49" s="32"/>
      <c r="O49" s="17"/>
      <c r="P49" s="17"/>
      <c r="Q49" s="17"/>
      <c r="R49" s="17"/>
    </row>
    <row r="50" spans="1:18" s="13" customFormat="1" ht="18.75" customHeight="1" thickBot="1">
      <c r="A50" s="64"/>
      <c r="B50" s="65"/>
      <c r="C50" s="65"/>
      <c r="D50" s="74"/>
      <c r="E50" s="74"/>
      <c r="F50" s="65"/>
      <c r="G50" s="89" t="s">
        <v>109</v>
      </c>
      <c r="H50" s="323" t="str">
        <f>IF(COUNT(H21,H23)=2,H21+H23,"")</f>
        <v/>
      </c>
      <c r="I50" s="129" t="s">
        <v>47</v>
      </c>
      <c r="J50" s="199" t="s">
        <v>48</v>
      </c>
      <c r="M50" s="21"/>
      <c r="N50" s="32"/>
      <c r="O50" s="17"/>
      <c r="P50" s="17"/>
      <c r="Q50" s="17"/>
      <c r="R50" s="17"/>
    </row>
    <row r="51" spans="1:18" s="13" customFormat="1" ht="7.5" customHeight="1" thickBot="1">
      <c r="A51" s="64"/>
      <c r="B51" s="65"/>
      <c r="C51" s="65"/>
      <c r="D51" s="74"/>
      <c r="E51" s="74"/>
      <c r="F51" s="74"/>
      <c r="G51" s="121"/>
      <c r="H51" s="174"/>
      <c r="I51" s="129"/>
      <c r="J51" s="390"/>
      <c r="M51" s="21"/>
      <c r="N51" s="32"/>
      <c r="O51" s="17"/>
      <c r="P51" s="17"/>
      <c r="Q51" s="17"/>
      <c r="R51" s="17"/>
    </row>
    <row r="52" spans="1:18" s="13" customFormat="1" ht="18" customHeight="1" thickBot="1">
      <c r="A52" s="64"/>
      <c r="B52" s="65"/>
      <c r="C52" s="65" t="s">
        <v>439</v>
      </c>
      <c r="D52" s="74"/>
      <c r="E52" s="74"/>
      <c r="F52" s="74"/>
      <c r="G52" s="121" t="s">
        <v>240</v>
      </c>
      <c r="H52" s="324">
        <f>MAX(H48:H50)</f>
        <v>0</v>
      </c>
      <c r="I52" s="129" t="s">
        <v>47</v>
      </c>
      <c r="J52" s="390" t="s">
        <v>48</v>
      </c>
      <c r="L52" s="48" t="str">
        <f>IF(COUNTBLANK(L43:L45)=0,MAX(L43:L45),"")</f>
        <v/>
      </c>
      <c r="M52" s="21"/>
      <c r="N52" s="32"/>
      <c r="O52" s="17"/>
      <c r="P52" s="17"/>
      <c r="Q52" s="17"/>
      <c r="R52" s="17"/>
    </row>
    <row r="53" spans="1:18" s="13" customFormat="1" ht="19.149999999999999" customHeight="1" thickBot="1">
      <c r="A53" s="110"/>
      <c r="B53" s="96"/>
      <c r="C53" s="96"/>
      <c r="D53" s="178"/>
      <c r="E53" s="178"/>
      <c r="F53" s="178"/>
      <c r="G53" s="215"/>
      <c r="H53" s="216"/>
      <c r="I53" s="217"/>
      <c r="J53" s="218"/>
      <c r="M53" s="21"/>
      <c r="N53" s="32"/>
      <c r="O53" s="17"/>
      <c r="P53" s="17"/>
      <c r="Q53" s="17"/>
      <c r="R53" s="17"/>
    </row>
    <row r="54" spans="1:18" s="13" customFormat="1" ht="20.45" customHeight="1" thickBot="1">
      <c r="A54" s="65"/>
      <c r="B54" s="65"/>
      <c r="C54" s="74"/>
      <c r="D54" s="74"/>
      <c r="E54" s="74"/>
      <c r="F54" s="74"/>
      <c r="G54" s="74"/>
      <c r="H54" s="74"/>
      <c r="I54" s="74"/>
      <c r="J54" s="65"/>
    </row>
    <row r="55" spans="1:18" s="13" customFormat="1" ht="19.5" customHeight="1" thickBot="1">
      <c r="A55" s="732" t="s">
        <v>165</v>
      </c>
      <c r="B55" s="733"/>
      <c r="C55" s="733"/>
      <c r="D55" s="733"/>
      <c r="E55" s="733"/>
      <c r="F55" s="733"/>
      <c r="G55" s="733"/>
      <c r="H55" s="733"/>
      <c r="I55" s="733"/>
      <c r="J55" s="734"/>
    </row>
    <row r="56" spans="1:18" s="13" customFormat="1" ht="28.5" customHeight="1" thickTop="1">
      <c r="A56" s="14" t="s">
        <v>179</v>
      </c>
      <c r="B56" s="711" t="str">
        <f>+表紙!B3&amp;"　　（４．処理能力）"</f>
        <v>アンダーカウンター洗浄機、ドアタイプ洗浄機（選択してください）　　（４．処理能力）</v>
      </c>
      <c r="C56" s="712"/>
      <c r="D56" s="712"/>
      <c r="E56" s="712"/>
      <c r="F56" s="712"/>
      <c r="G56" s="712"/>
      <c r="H56" s="745"/>
      <c r="I56" s="712" t="str">
        <f>"ガス種："&amp;表紙!$I$11</f>
        <v>ガス種：(選択して下さい)</v>
      </c>
      <c r="J56" s="779"/>
    </row>
    <row r="57" spans="1:18" s="13" customFormat="1" ht="18" customHeight="1" thickBot="1">
      <c r="A57" s="15" t="s">
        <v>378</v>
      </c>
      <c r="B57" s="786" t="str">
        <f>IF(表紙!$B$6=0,"",表紙!$B$6)</f>
        <v/>
      </c>
      <c r="C57" s="720"/>
      <c r="D57" s="720"/>
      <c r="E57" s="720"/>
      <c r="F57" s="787"/>
      <c r="G57" s="374" t="s">
        <v>3</v>
      </c>
      <c r="H57" s="725" t="str">
        <f>IF(表紙!$H$5=0,"",表紙!$H$5)</f>
        <v/>
      </c>
      <c r="I57" s="726"/>
      <c r="J57" s="727"/>
    </row>
    <row r="58" spans="1:18" s="13" customFormat="1" ht="13.9" customHeight="1">
      <c r="A58" s="64"/>
      <c r="B58" s="65"/>
      <c r="C58" s="74"/>
      <c r="D58" s="74"/>
      <c r="E58" s="74"/>
      <c r="F58" s="74"/>
      <c r="G58" s="74"/>
      <c r="H58" s="74"/>
      <c r="I58" s="74"/>
      <c r="J58" s="66"/>
    </row>
    <row r="59" spans="1:18" s="13" customFormat="1" ht="15" customHeight="1">
      <c r="A59" s="64"/>
      <c r="B59" s="93" t="s">
        <v>174</v>
      </c>
      <c r="C59" s="65"/>
      <c r="D59" s="74"/>
      <c r="E59" s="74"/>
      <c r="F59" s="74"/>
      <c r="G59" s="74"/>
      <c r="H59" s="166"/>
      <c r="I59" s="169"/>
      <c r="J59" s="175"/>
      <c r="M59" s="17"/>
      <c r="N59" s="17"/>
      <c r="O59" s="17"/>
      <c r="P59" s="17"/>
      <c r="Q59" s="17"/>
      <c r="R59" s="17"/>
    </row>
    <row r="60" spans="1:18" s="13" customFormat="1" ht="30" customHeight="1" thickBot="1">
      <c r="A60" s="64"/>
      <c r="B60" s="65"/>
      <c r="C60" s="124"/>
      <c r="D60" s="74"/>
      <c r="E60" s="74"/>
      <c r="F60" s="74"/>
      <c r="G60" s="72"/>
      <c r="H60" s="176"/>
      <c r="I60" s="387"/>
      <c r="J60" s="390"/>
      <c r="M60" s="17"/>
      <c r="N60" s="17"/>
      <c r="O60" s="17"/>
      <c r="P60" s="17"/>
      <c r="Q60" s="17"/>
      <c r="R60" s="17"/>
    </row>
    <row r="61" spans="1:18" s="13" customFormat="1" ht="17.25" customHeight="1" thickBot="1">
      <c r="A61" s="64"/>
      <c r="B61" s="65"/>
      <c r="C61" s="65" t="s">
        <v>241</v>
      </c>
      <c r="D61" s="74"/>
      <c r="E61" s="74"/>
      <c r="F61" s="74"/>
      <c r="G61" s="137" t="s">
        <v>242</v>
      </c>
      <c r="H61" s="349" t="str">
        <f>IF(COUNT(H20,H52)=2,H20*3600/H52,"")</f>
        <v/>
      </c>
      <c r="I61" s="387" t="s">
        <v>18</v>
      </c>
      <c r="J61" s="390" t="s">
        <v>48</v>
      </c>
      <c r="M61" s="17"/>
      <c r="N61" s="17"/>
      <c r="O61" s="17"/>
      <c r="P61" s="17"/>
      <c r="Q61" s="17"/>
      <c r="R61" s="17"/>
    </row>
    <row r="62" spans="1:18" s="13" customFormat="1" ht="12" customHeight="1">
      <c r="A62" s="64"/>
      <c r="B62" s="65"/>
      <c r="C62" s="65"/>
      <c r="D62" s="74"/>
      <c r="E62" s="74"/>
      <c r="F62" s="74"/>
      <c r="G62" s="161"/>
      <c r="H62" s="177"/>
      <c r="I62" s="387"/>
      <c r="J62" s="390"/>
      <c r="M62" s="17"/>
      <c r="N62" s="17"/>
      <c r="O62" s="17"/>
      <c r="P62" s="17"/>
      <c r="Q62" s="17"/>
      <c r="R62" s="17"/>
    </row>
    <row r="63" spans="1:18" s="13" customFormat="1" ht="15" customHeight="1">
      <c r="A63" s="64"/>
      <c r="B63" s="68" t="s">
        <v>144</v>
      </c>
      <c r="C63" s="65"/>
      <c r="D63" s="65"/>
      <c r="E63" s="65"/>
      <c r="F63" s="65"/>
      <c r="G63" s="65"/>
      <c r="H63" s="74"/>
      <c r="I63" s="272"/>
      <c r="J63" s="66"/>
    </row>
    <row r="64" spans="1:18" s="13" customFormat="1" ht="5.25" customHeight="1">
      <c r="A64" s="64"/>
      <c r="B64" s="68"/>
      <c r="C64" s="65"/>
      <c r="D64" s="65"/>
      <c r="E64" s="65"/>
      <c r="F64" s="65"/>
      <c r="G64" s="65"/>
      <c r="H64" s="74"/>
      <c r="I64" s="272"/>
      <c r="J64" s="66"/>
    </row>
    <row r="65" spans="1:10" s="13" customFormat="1" ht="15" customHeight="1">
      <c r="A65" s="64"/>
      <c r="B65" s="81" t="s">
        <v>476</v>
      </c>
      <c r="C65" s="74"/>
      <c r="D65" s="74"/>
      <c r="E65" s="89"/>
      <c r="F65" s="74"/>
      <c r="G65" s="65"/>
      <c r="H65" s="74"/>
      <c r="I65" s="272"/>
      <c r="J65" s="66"/>
    </row>
    <row r="66" spans="1:10" s="13" customFormat="1" ht="15" customHeight="1">
      <c r="A66" s="64"/>
      <c r="B66" s="65"/>
      <c r="C66" s="389" t="s">
        <v>121</v>
      </c>
      <c r="D66" s="74"/>
      <c r="E66" s="89"/>
      <c r="F66" s="74"/>
      <c r="G66" s="65"/>
      <c r="H66" s="74"/>
      <c r="I66" s="272"/>
      <c r="J66" s="66"/>
    </row>
    <row r="67" spans="1:10" s="13" customFormat="1" ht="15" customHeight="1">
      <c r="A67" s="64"/>
      <c r="B67" s="65"/>
      <c r="C67" s="74"/>
      <c r="D67" s="389" t="s">
        <v>147</v>
      </c>
      <c r="E67" s="74"/>
      <c r="F67" s="74"/>
      <c r="G67" s="65"/>
      <c r="H67" s="74"/>
      <c r="I67" s="272"/>
      <c r="J67" s="66"/>
    </row>
    <row r="68" spans="1:10" ht="15" customHeight="1">
      <c r="A68" s="64"/>
      <c r="B68" s="72"/>
      <c r="C68" s="65"/>
      <c r="D68" s="72"/>
      <c r="E68" s="72"/>
      <c r="F68" s="410"/>
      <c r="G68" s="410"/>
      <c r="H68" s="410"/>
      <c r="I68" s="446"/>
      <c r="J68" s="447"/>
    </row>
    <row r="69" spans="1:10" ht="15" customHeight="1">
      <c r="A69" s="64"/>
      <c r="B69" s="401"/>
      <c r="C69" s="72"/>
      <c r="D69" s="401"/>
      <c r="E69" s="401"/>
      <c r="F69" s="401"/>
      <c r="G69" s="401"/>
      <c r="H69" s="401"/>
      <c r="I69" s="408"/>
      <c r="J69" s="448"/>
    </row>
    <row r="70" spans="1:10" ht="15" customHeight="1">
      <c r="A70" s="64"/>
      <c r="B70" s="401"/>
      <c r="C70" s="401"/>
      <c r="D70" s="401"/>
      <c r="E70" s="401"/>
      <c r="F70" s="72"/>
      <c r="G70" s="74"/>
      <c r="H70" s="138"/>
      <c r="I70" s="341"/>
      <c r="J70" s="448"/>
    </row>
    <row r="71" spans="1:10" ht="17.25" customHeight="1">
      <c r="A71" s="64"/>
      <c r="B71" s="441" t="s">
        <v>353</v>
      </c>
      <c r="C71" s="441"/>
      <c r="D71" s="441"/>
      <c r="E71" s="72"/>
      <c r="F71" s="72"/>
      <c r="G71" s="63" t="s">
        <v>346</v>
      </c>
      <c r="H71" s="309"/>
      <c r="I71" s="426" t="s">
        <v>401</v>
      </c>
      <c r="J71" s="390" t="s">
        <v>25</v>
      </c>
    </row>
    <row r="72" spans="1:10" ht="17.25" customHeight="1">
      <c r="A72" s="64"/>
      <c r="B72" s="441" t="s">
        <v>354</v>
      </c>
      <c r="C72" s="441"/>
      <c r="D72" s="441"/>
      <c r="E72" s="72"/>
      <c r="F72" s="72"/>
      <c r="G72" s="63" t="s">
        <v>347</v>
      </c>
      <c r="H72" s="310"/>
      <c r="I72" s="426" t="s">
        <v>507</v>
      </c>
      <c r="J72" s="390" t="s">
        <v>48</v>
      </c>
    </row>
    <row r="73" spans="1:10" ht="17.25" customHeight="1">
      <c r="A73" s="64"/>
      <c r="B73" s="441" t="s">
        <v>355</v>
      </c>
      <c r="C73" s="441"/>
      <c r="D73" s="441"/>
      <c r="E73" s="72"/>
      <c r="F73" s="72"/>
      <c r="G73" s="63" t="s">
        <v>348</v>
      </c>
      <c r="H73" s="311"/>
      <c r="I73" s="426" t="s">
        <v>137</v>
      </c>
      <c r="J73" s="390" t="s">
        <v>24</v>
      </c>
    </row>
    <row r="74" spans="1:10" ht="17.25" customHeight="1">
      <c r="A74" s="64"/>
      <c r="B74" s="441" t="s">
        <v>356</v>
      </c>
      <c r="C74" s="441"/>
      <c r="D74" s="441"/>
      <c r="E74" s="72"/>
      <c r="F74" s="72"/>
      <c r="G74" s="63" t="s">
        <v>349</v>
      </c>
      <c r="H74" s="312"/>
      <c r="I74" s="426" t="s">
        <v>138</v>
      </c>
      <c r="J74" s="390" t="s">
        <v>29</v>
      </c>
    </row>
    <row r="75" spans="1:10" ht="17.25" customHeight="1">
      <c r="A75" s="64"/>
      <c r="B75" s="442" t="s">
        <v>357</v>
      </c>
      <c r="C75" s="442"/>
      <c r="D75" s="442"/>
      <c r="E75" s="72"/>
      <c r="F75" s="72"/>
      <c r="G75" s="63" t="s">
        <v>350</v>
      </c>
      <c r="H75" s="312"/>
      <c r="I75" s="426" t="s">
        <v>138</v>
      </c>
      <c r="J75" s="390" t="s">
        <v>29</v>
      </c>
    </row>
    <row r="76" spans="1:10" ht="17.25" customHeight="1">
      <c r="A76" s="64"/>
      <c r="B76" s="442" t="s">
        <v>402</v>
      </c>
      <c r="C76" s="442"/>
      <c r="D76" s="442"/>
      <c r="E76" s="72"/>
      <c r="F76" s="72"/>
      <c r="G76" s="63" t="s">
        <v>351</v>
      </c>
      <c r="H76" s="427" t="str">
        <f>IF(COUNTBLANK(H71:H75)=0,IF(H78="乾　式","0.00",10^(7.203-1735.74/(H73+234))),"")</f>
        <v/>
      </c>
      <c r="I76" s="426" t="s">
        <v>138</v>
      </c>
      <c r="J76" s="390" t="s">
        <v>29</v>
      </c>
    </row>
    <row r="77" spans="1:10" ht="3.75" customHeight="1">
      <c r="A77" s="64"/>
      <c r="B77" s="414"/>
      <c r="C77" s="414"/>
      <c r="D77" s="414"/>
      <c r="E77" s="72"/>
      <c r="F77" s="72"/>
      <c r="G77" s="415"/>
      <c r="H77" s="449"/>
      <c r="I77" s="426"/>
      <c r="J77" s="378"/>
    </row>
    <row r="78" spans="1:10" ht="16.5" customHeight="1">
      <c r="A78" s="64"/>
      <c r="B78" s="401"/>
      <c r="C78" s="389" t="s">
        <v>472</v>
      </c>
      <c r="D78" s="72"/>
      <c r="E78" s="381"/>
      <c r="F78" s="381"/>
      <c r="G78" s="443"/>
      <c r="H78" s="468" t="s">
        <v>516</v>
      </c>
      <c r="I78" s="450"/>
      <c r="J78" s="448"/>
    </row>
    <row r="79" spans="1:10" ht="16.5" customHeight="1">
      <c r="A79" s="64"/>
      <c r="B79" s="72"/>
      <c r="C79" s="381" t="s">
        <v>343</v>
      </c>
      <c r="D79" s="418"/>
      <c r="E79" s="381"/>
      <c r="F79" s="418"/>
      <c r="G79" s="418"/>
      <c r="H79" s="410"/>
      <c r="I79" s="408"/>
      <c r="J79" s="451"/>
    </row>
    <row r="80" spans="1:10" ht="16.5" customHeight="1">
      <c r="A80" s="64"/>
      <c r="B80" s="72"/>
      <c r="C80" s="381" t="s">
        <v>344</v>
      </c>
      <c r="D80" s="141"/>
      <c r="E80" s="381"/>
      <c r="F80" s="141"/>
      <c r="G80" s="141"/>
      <c r="H80" s="202"/>
      <c r="I80" s="341"/>
      <c r="J80" s="448"/>
    </row>
    <row r="81" spans="1:10" ht="15" customHeight="1">
      <c r="A81" s="64"/>
      <c r="B81" s="729"/>
      <c r="C81" s="730"/>
      <c r="D81" s="730"/>
      <c r="E81" s="730"/>
      <c r="F81" s="730"/>
      <c r="G81" s="730"/>
      <c r="H81" s="76"/>
      <c r="I81" s="272"/>
      <c r="J81" s="66"/>
    </row>
    <row r="82" spans="1:10" ht="15" customHeight="1">
      <c r="A82" s="64"/>
      <c r="B82" s="381"/>
      <c r="C82" s="76"/>
      <c r="D82" s="76"/>
      <c r="E82" s="76"/>
      <c r="F82" s="76"/>
      <c r="G82" s="76"/>
      <c r="H82" s="76"/>
      <c r="I82" s="272"/>
      <c r="J82" s="66"/>
    </row>
    <row r="83" spans="1:10" ht="6.75" customHeight="1">
      <c r="A83" s="64"/>
      <c r="B83" s="381"/>
      <c r="C83" s="76"/>
      <c r="D83" s="76"/>
      <c r="E83" s="76"/>
      <c r="F83" s="76"/>
      <c r="G83" s="76"/>
      <c r="H83" s="76"/>
      <c r="I83" s="272"/>
      <c r="J83" s="66"/>
    </row>
    <row r="84" spans="1:10" ht="15" customHeight="1">
      <c r="A84" s="64"/>
      <c r="B84" s="72"/>
      <c r="C84" s="389" t="s">
        <v>121</v>
      </c>
      <c r="D84" s="74"/>
      <c r="E84" s="89"/>
      <c r="F84" s="74"/>
      <c r="G84" s="65"/>
      <c r="H84" s="138"/>
      <c r="I84" s="341"/>
      <c r="J84" s="66"/>
    </row>
    <row r="85" spans="1:10" ht="17.25" customHeight="1">
      <c r="A85" s="64"/>
      <c r="B85" s="65"/>
      <c r="C85" s="74"/>
      <c r="D85" s="74"/>
      <c r="E85" s="74"/>
      <c r="F85" s="74"/>
      <c r="G85" s="89" t="s">
        <v>145</v>
      </c>
      <c r="H85" s="313" t="str">
        <f>IF(COUNTBLANK(H71:H75)=0,(H71*H72*(H74+H75-H76)*273/3600/101.3/(273+H73)),"")</f>
        <v/>
      </c>
      <c r="I85" s="387" t="s">
        <v>146</v>
      </c>
      <c r="J85" s="390" t="s">
        <v>25</v>
      </c>
    </row>
    <row r="86" spans="1:10" s="13" customFormat="1" ht="15" customHeight="1" thickBot="1">
      <c r="A86" s="64"/>
      <c r="B86" s="389"/>
      <c r="C86" s="74"/>
      <c r="D86" s="74"/>
      <c r="E86" s="89"/>
      <c r="F86" s="74"/>
      <c r="G86" s="65"/>
      <c r="H86" s="19"/>
      <c r="I86" s="272"/>
      <c r="J86" s="66"/>
    </row>
    <row r="87" spans="1:10" s="13" customFormat="1" ht="21.75" customHeight="1" thickBot="1">
      <c r="A87" s="64"/>
      <c r="B87" s="65"/>
      <c r="C87" s="389" t="s">
        <v>245</v>
      </c>
      <c r="D87" s="74"/>
      <c r="E87" s="74"/>
      <c r="F87" s="74"/>
      <c r="G87" s="119" t="s">
        <v>243</v>
      </c>
      <c r="H87" s="325" t="str">
        <f>IF(H85&lt;&gt;"",H85/5,"")</f>
        <v/>
      </c>
      <c r="I87" s="387" t="s">
        <v>54</v>
      </c>
      <c r="J87" s="390" t="s">
        <v>25</v>
      </c>
    </row>
    <row r="88" spans="1:10" s="13" customFormat="1" ht="7.5" customHeight="1">
      <c r="A88" s="64"/>
      <c r="B88" s="389"/>
      <c r="C88" s="74"/>
      <c r="D88" s="74"/>
      <c r="E88" s="89"/>
      <c r="F88" s="74"/>
      <c r="G88" s="65"/>
      <c r="H88" s="74"/>
      <c r="I88" s="74"/>
      <c r="J88" s="66"/>
    </row>
    <row r="89" spans="1:10" s="13" customFormat="1" ht="15" customHeight="1">
      <c r="A89" s="64"/>
      <c r="B89" s="81" t="s">
        <v>477</v>
      </c>
      <c r="C89" s="74"/>
      <c r="D89" s="74"/>
      <c r="E89" s="89"/>
      <c r="F89" s="74"/>
      <c r="G89" s="65"/>
      <c r="H89" s="74"/>
      <c r="I89" s="74"/>
      <c r="J89" s="66"/>
    </row>
    <row r="90" spans="1:10" s="13" customFormat="1" ht="15" customHeight="1">
      <c r="A90" s="64"/>
      <c r="B90" s="65"/>
      <c r="C90" s="389" t="s">
        <v>121</v>
      </c>
      <c r="D90" s="74"/>
      <c r="E90" s="89"/>
      <c r="F90" s="74"/>
      <c r="G90" s="65"/>
      <c r="H90" s="74"/>
      <c r="I90" s="74"/>
      <c r="J90" s="66"/>
    </row>
    <row r="91" spans="1:10" s="13" customFormat="1" ht="17.25" customHeight="1">
      <c r="A91" s="64"/>
      <c r="B91" s="65"/>
      <c r="C91" s="74"/>
      <c r="D91" s="74"/>
      <c r="E91" s="74"/>
      <c r="F91" s="74"/>
      <c r="G91" s="89" t="s">
        <v>122</v>
      </c>
      <c r="H91" s="326"/>
      <c r="I91" s="129" t="s">
        <v>71</v>
      </c>
      <c r="J91" s="390" t="s">
        <v>25</v>
      </c>
    </row>
    <row r="92" spans="1:10" s="13" customFormat="1" ht="7.5" customHeight="1" thickBot="1">
      <c r="A92" s="64"/>
      <c r="B92" s="65"/>
      <c r="C92" s="74"/>
      <c r="D92" s="74"/>
      <c r="E92" s="74"/>
      <c r="F92" s="74"/>
      <c r="G92" s="89"/>
      <c r="H92" s="452"/>
      <c r="I92" s="129"/>
      <c r="J92" s="390"/>
    </row>
    <row r="93" spans="1:10" s="13" customFormat="1" ht="22.5" customHeight="1" thickBot="1">
      <c r="A93" s="64"/>
      <c r="B93" s="65"/>
      <c r="C93" s="389" t="s">
        <v>246</v>
      </c>
      <c r="D93" s="74"/>
      <c r="E93" s="74"/>
      <c r="F93" s="74"/>
      <c r="G93" s="119" t="s">
        <v>244</v>
      </c>
      <c r="H93" s="325" t="str">
        <f>IF(H91&lt;&gt;"",H91/5,"")</f>
        <v/>
      </c>
      <c r="I93" s="129" t="s">
        <v>54</v>
      </c>
      <c r="J93" s="390" t="s">
        <v>25</v>
      </c>
    </row>
    <row r="94" spans="1:10" s="13" customFormat="1" ht="9" customHeight="1">
      <c r="A94" s="64"/>
      <c r="B94" s="65"/>
      <c r="C94" s="74"/>
      <c r="D94" s="74"/>
      <c r="E94" s="74"/>
      <c r="F94" s="74"/>
      <c r="G94" s="74"/>
      <c r="H94" s="74"/>
      <c r="I94" s="74"/>
      <c r="J94" s="66"/>
    </row>
    <row r="95" spans="1:10" s="13" customFormat="1" ht="15" customHeight="1">
      <c r="A95" s="64"/>
      <c r="B95" s="65"/>
      <c r="C95" s="74"/>
      <c r="D95" s="74"/>
      <c r="E95" s="74"/>
      <c r="F95" s="74"/>
      <c r="G95" s="74"/>
      <c r="H95" s="74"/>
      <c r="I95" s="74"/>
      <c r="J95" s="66"/>
    </row>
    <row r="96" spans="1:10" s="13" customFormat="1" ht="15" customHeight="1">
      <c r="A96" s="64"/>
      <c r="B96" s="65"/>
      <c r="C96" s="74"/>
      <c r="D96" s="74"/>
      <c r="E96" s="74"/>
      <c r="F96" s="74"/>
      <c r="G96" s="74"/>
      <c r="H96" s="74"/>
      <c r="I96" s="74"/>
      <c r="J96" s="66"/>
    </row>
    <row r="97" spans="1:10" s="13" customFormat="1" ht="15" customHeight="1">
      <c r="A97" s="64"/>
      <c r="B97" s="65"/>
      <c r="C97" s="74"/>
      <c r="D97" s="74"/>
      <c r="E97" s="74"/>
      <c r="F97" s="74"/>
      <c r="G97" s="74"/>
      <c r="H97" s="74"/>
      <c r="I97" s="74"/>
      <c r="J97" s="66"/>
    </row>
    <row r="98" spans="1:10" s="13" customFormat="1" ht="15" customHeight="1">
      <c r="A98" s="64"/>
      <c r="B98" s="65"/>
      <c r="C98" s="74"/>
      <c r="D98" s="74"/>
      <c r="E98" s="74"/>
      <c r="F98" s="74"/>
      <c r="G98" s="74"/>
      <c r="H98" s="74"/>
      <c r="I98" s="74"/>
      <c r="J98" s="66"/>
    </row>
    <row r="99" spans="1:10" s="13" customFormat="1" ht="15" customHeight="1">
      <c r="A99" s="64"/>
      <c r="B99" s="65"/>
      <c r="C99" s="74"/>
      <c r="D99" s="74"/>
      <c r="E99" s="74"/>
      <c r="F99" s="74"/>
      <c r="G99" s="74"/>
      <c r="H99" s="74"/>
      <c r="I99" s="74"/>
      <c r="J99" s="66"/>
    </row>
    <row r="100" spans="1:10" ht="15" customHeight="1">
      <c r="A100" s="86"/>
      <c r="B100" s="72"/>
      <c r="C100" s="72"/>
      <c r="D100" s="72"/>
      <c r="E100" s="72"/>
      <c r="F100" s="72"/>
      <c r="G100" s="72"/>
      <c r="H100" s="72"/>
      <c r="I100" s="74"/>
      <c r="J100" s="66"/>
    </row>
    <row r="101" spans="1:10" ht="22.5" customHeight="1">
      <c r="A101" s="86"/>
      <c r="B101" s="389"/>
      <c r="C101" s="72"/>
      <c r="D101" s="74"/>
      <c r="E101" s="74"/>
      <c r="F101" s="74"/>
      <c r="G101" s="389"/>
      <c r="H101" s="72"/>
      <c r="I101" s="74"/>
      <c r="J101" s="66"/>
    </row>
    <row r="102" spans="1:10" ht="22.5" customHeight="1">
      <c r="A102" s="86"/>
      <c r="B102" s="389"/>
      <c r="C102" s="72"/>
      <c r="D102" s="74"/>
      <c r="E102" s="74"/>
      <c r="F102" s="74"/>
      <c r="G102" s="389"/>
      <c r="H102" s="72"/>
      <c r="I102" s="74"/>
      <c r="J102" s="66"/>
    </row>
    <row r="103" spans="1:10" ht="15" customHeight="1">
      <c r="A103" s="86"/>
      <c r="B103" s="389"/>
      <c r="C103" s="72"/>
      <c r="D103" s="74"/>
      <c r="E103" s="74"/>
      <c r="F103" s="74"/>
      <c r="G103" s="389"/>
      <c r="H103" s="72"/>
      <c r="I103" s="74"/>
      <c r="J103" s="66"/>
    </row>
    <row r="104" spans="1:10" ht="15" customHeight="1">
      <c r="A104" s="86"/>
      <c r="B104" s="389"/>
      <c r="C104" s="72"/>
      <c r="D104" s="74"/>
      <c r="E104" s="74"/>
      <c r="F104" s="74"/>
      <c r="G104" s="389"/>
      <c r="H104" s="72"/>
      <c r="I104" s="74"/>
      <c r="J104" s="66"/>
    </row>
    <row r="105" spans="1:10" ht="15" customHeight="1">
      <c r="A105" s="86"/>
      <c r="B105" s="389"/>
      <c r="C105" s="72"/>
      <c r="D105" s="74"/>
      <c r="E105" s="389"/>
      <c r="F105" s="74"/>
      <c r="G105" s="389"/>
      <c r="H105" s="72"/>
      <c r="I105" s="74"/>
      <c r="J105" s="66"/>
    </row>
    <row r="106" spans="1:10" ht="15" customHeight="1">
      <c r="A106" s="86"/>
      <c r="B106" s="389"/>
      <c r="C106" s="72"/>
      <c r="D106" s="74"/>
      <c r="E106" s="389" t="s">
        <v>119</v>
      </c>
      <c r="F106" s="74"/>
      <c r="G106" s="389"/>
      <c r="H106" s="72"/>
      <c r="I106" s="74"/>
      <c r="J106" s="66"/>
    </row>
    <row r="107" spans="1:10" ht="15" customHeight="1" thickBot="1">
      <c r="A107" s="94"/>
      <c r="B107" s="179"/>
      <c r="C107" s="95"/>
      <c r="D107" s="178"/>
      <c r="E107" s="179"/>
      <c r="F107" s="178"/>
      <c r="G107" s="179"/>
      <c r="H107" s="95"/>
      <c r="I107" s="178"/>
      <c r="J107" s="102"/>
    </row>
    <row r="108" spans="1:10" s="13" customFormat="1" ht="20.45" customHeight="1" thickBot="1">
      <c r="A108" s="65"/>
      <c r="B108" s="65"/>
      <c r="C108" s="74"/>
      <c r="D108" s="74"/>
      <c r="E108" s="74"/>
      <c r="F108" s="74"/>
      <c r="G108" s="74"/>
      <c r="H108" s="74"/>
      <c r="I108" s="74"/>
      <c r="J108" s="65"/>
    </row>
    <row r="109" spans="1:10" s="13" customFormat="1" ht="19.5" customHeight="1" thickBot="1">
      <c r="A109" s="732" t="s">
        <v>165</v>
      </c>
      <c r="B109" s="733"/>
      <c r="C109" s="733"/>
      <c r="D109" s="733"/>
      <c r="E109" s="733"/>
      <c r="F109" s="733"/>
      <c r="G109" s="733"/>
      <c r="H109" s="733"/>
      <c r="I109" s="733"/>
      <c r="J109" s="734"/>
    </row>
    <row r="110" spans="1:10" s="13" customFormat="1" ht="28.5" customHeight="1" thickTop="1">
      <c r="A110" s="14" t="s">
        <v>179</v>
      </c>
      <c r="B110" s="711" t="str">
        <f>+表紙!B3&amp;"　　（４．処理能力）"</f>
        <v>アンダーカウンター洗浄機、ドアタイプ洗浄機（選択してください）　　（４．処理能力）</v>
      </c>
      <c r="C110" s="712"/>
      <c r="D110" s="712"/>
      <c r="E110" s="712"/>
      <c r="F110" s="712"/>
      <c r="G110" s="712"/>
      <c r="H110" s="745"/>
      <c r="I110" s="712" t="str">
        <f>"ガス種："&amp;表紙!$I$11</f>
        <v>ガス種：(選択して下さい)</v>
      </c>
      <c r="J110" s="779"/>
    </row>
    <row r="111" spans="1:10" s="13" customFormat="1" ht="18" customHeight="1" thickBot="1">
      <c r="A111" s="15" t="s">
        <v>378</v>
      </c>
      <c r="B111" s="786" t="str">
        <f>IF(表紙!$B$6=0,"",表紙!$B$6)</f>
        <v/>
      </c>
      <c r="C111" s="720"/>
      <c r="D111" s="720"/>
      <c r="E111" s="720"/>
      <c r="F111" s="787"/>
      <c r="G111" s="374" t="s">
        <v>3</v>
      </c>
      <c r="H111" s="725" t="str">
        <f>IF(表紙!$H$5=0,"",表紙!$H$5)</f>
        <v/>
      </c>
      <c r="I111" s="726"/>
      <c r="J111" s="727"/>
    </row>
    <row r="112" spans="1:10" s="13" customFormat="1" ht="18.75" customHeight="1">
      <c r="A112" s="80"/>
      <c r="B112" s="180"/>
      <c r="C112" s="180"/>
      <c r="D112" s="180"/>
      <c r="E112" s="180"/>
      <c r="F112" s="180"/>
      <c r="G112" s="272"/>
      <c r="H112" s="181"/>
      <c r="I112" s="181"/>
      <c r="J112" s="182"/>
    </row>
    <row r="113" spans="1:10" ht="15" customHeight="1">
      <c r="A113" s="86"/>
      <c r="B113" s="389"/>
      <c r="C113" s="72"/>
      <c r="D113" s="74"/>
      <c r="E113" s="389"/>
      <c r="F113" s="74"/>
      <c r="G113" s="389"/>
      <c r="H113" s="72"/>
      <c r="I113" s="74"/>
      <c r="J113" s="66"/>
    </row>
    <row r="114" spans="1:10" ht="15" customHeight="1">
      <c r="A114" s="86"/>
      <c r="B114" s="389" t="s">
        <v>91</v>
      </c>
      <c r="C114" s="72"/>
      <c r="D114" s="74"/>
      <c r="E114" s="74"/>
      <c r="F114" s="74"/>
      <c r="G114" s="389" t="s">
        <v>19</v>
      </c>
      <c r="H114" s="72"/>
      <c r="I114" s="74"/>
      <c r="J114" s="66"/>
    </row>
    <row r="115" spans="1:10" ht="15" customHeight="1">
      <c r="A115" s="86"/>
      <c r="B115" s="65"/>
      <c r="C115" s="72"/>
      <c r="D115" s="74"/>
      <c r="E115" s="74"/>
      <c r="F115" s="74"/>
      <c r="G115" s="74"/>
      <c r="H115" s="72"/>
      <c r="I115" s="74"/>
      <c r="J115" s="66"/>
    </row>
    <row r="116" spans="1:10" ht="15" customHeight="1">
      <c r="A116" s="86"/>
      <c r="B116" s="65"/>
      <c r="C116" s="74"/>
      <c r="D116" s="74"/>
      <c r="E116" s="74"/>
      <c r="F116" s="74"/>
      <c r="G116" s="74"/>
      <c r="H116" s="74"/>
      <c r="I116" s="74"/>
      <c r="J116" s="66"/>
    </row>
    <row r="117" spans="1:10" ht="15" customHeight="1">
      <c r="A117" s="86"/>
      <c r="B117" s="65"/>
      <c r="C117" s="74"/>
      <c r="D117" s="74"/>
      <c r="E117" s="74"/>
      <c r="F117" s="74"/>
      <c r="G117" s="74"/>
      <c r="H117" s="74"/>
      <c r="I117" s="74"/>
      <c r="J117" s="66"/>
    </row>
    <row r="118" spans="1:10" ht="15" customHeight="1">
      <c r="A118" s="86"/>
      <c r="B118" s="65"/>
      <c r="C118" s="74"/>
      <c r="D118" s="74"/>
      <c r="E118" s="74"/>
      <c r="F118" s="74"/>
      <c r="G118" s="74"/>
      <c r="H118" s="74"/>
      <c r="I118" s="74"/>
      <c r="J118" s="66"/>
    </row>
    <row r="119" spans="1:10" ht="15" customHeight="1">
      <c r="A119" s="86"/>
      <c r="B119" s="65"/>
      <c r="C119" s="74"/>
      <c r="D119" s="74"/>
      <c r="E119" s="74"/>
      <c r="F119" s="74"/>
      <c r="G119" s="74"/>
      <c r="H119" s="74"/>
      <c r="I119" s="74"/>
      <c r="J119" s="66"/>
    </row>
    <row r="120" spans="1:10" ht="15" customHeight="1">
      <c r="A120" s="86"/>
      <c r="B120" s="65"/>
      <c r="C120" s="74"/>
      <c r="D120" s="74"/>
      <c r="E120" s="74"/>
      <c r="F120" s="74"/>
      <c r="G120" s="74"/>
      <c r="H120" s="74"/>
      <c r="I120" s="74"/>
      <c r="J120" s="66"/>
    </row>
    <row r="121" spans="1:10" ht="15" customHeight="1">
      <c r="A121" s="86"/>
      <c r="B121" s="65"/>
      <c r="C121" s="65"/>
      <c r="D121" s="65"/>
      <c r="E121" s="65"/>
      <c r="F121" s="65"/>
      <c r="G121" s="65"/>
      <c r="H121" s="65"/>
      <c r="I121" s="65"/>
      <c r="J121" s="66"/>
    </row>
    <row r="122" spans="1:10" ht="15" customHeight="1">
      <c r="A122" s="86"/>
      <c r="B122" s="65"/>
      <c r="C122" s="65"/>
      <c r="D122" s="65"/>
      <c r="E122" s="65"/>
      <c r="F122" s="65"/>
      <c r="G122" s="65"/>
      <c r="H122" s="65"/>
      <c r="I122" s="65"/>
      <c r="J122" s="66"/>
    </row>
    <row r="123" spans="1:10" ht="15" customHeight="1">
      <c r="A123" s="86"/>
      <c r="B123" s="65"/>
      <c r="C123" s="65"/>
      <c r="D123" s="65"/>
      <c r="E123" s="65"/>
      <c r="F123" s="65"/>
      <c r="G123" s="65"/>
      <c r="H123" s="65"/>
      <c r="I123" s="65"/>
      <c r="J123" s="66"/>
    </row>
    <row r="124" spans="1:10" ht="15" customHeight="1">
      <c r="A124" s="86"/>
      <c r="B124" s="65"/>
      <c r="C124" s="389"/>
      <c r="D124" s="74"/>
      <c r="E124" s="74"/>
      <c r="F124" s="74"/>
      <c r="G124" s="74"/>
      <c r="H124" s="74"/>
      <c r="I124" s="74"/>
      <c r="J124" s="66"/>
    </row>
    <row r="125" spans="1:10" ht="15" customHeight="1">
      <c r="A125" s="86"/>
      <c r="B125" s="65"/>
      <c r="C125" s="74"/>
      <c r="D125" s="74"/>
      <c r="E125" s="74"/>
      <c r="F125" s="74"/>
      <c r="G125" s="74"/>
      <c r="H125" s="74"/>
      <c r="I125" s="74"/>
      <c r="J125" s="66"/>
    </row>
    <row r="126" spans="1:10" ht="15" customHeight="1">
      <c r="A126" s="86"/>
      <c r="B126" s="65"/>
      <c r="C126" s="74"/>
      <c r="D126" s="74"/>
      <c r="E126" s="74"/>
      <c r="F126" s="74"/>
      <c r="G126" s="74"/>
      <c r="H126" s="74"/>
      <c r="I126" s="74"/>
      <c r="J126" s="66"/>
    </row>
    <row r="127" spans="1:10" ht="15" customHeight="1">
      <c r="A127" s="86"/>
      <c r="B127" s="65"/>
      <c r="C127" s="74"/>
      <c r="D127" s="74"/>
      <c r="E127" s="74"/>
      <c r="F127" s="74"/>
      <c r="G127" s="74"/>
      <c r="H127" s="74"/>
      <c r="I127" s="74"/>
      <c r="J127" s="66"/>
    </row>
    <row r="128" spans="1:10" ht="15" customHeight="1">
      <c r="A128" s="86"/>
      <c r="B128" s="65" t="s">
        <v>92</v>
      </c>
      <c r="C128" s="74"/>
      <c r="D128" s="74"/>
      <c r="E128" s="74"/>
      <c r="F128" s="74"/>
      <c r="G128" s="74"/>
      <c r="H128" s="74"/>
      <c r="I128" s="74"/>
      <c r="J128" s="66"/>
    </row>
    <row r="129" spans="1:10" ht="15" customHeight="1">
      <c r="A129" s="86"/>
      <c r="B129" s="65"/>
      <c r="C129" s="74"/>
      <c r="D129" s="74"/>
      <c r="E129" s="74"/>
      <c r="F129" s="74"/>
      <c r="G129" s="74"/>
      <c r="H129" s="74"/>
      <c r="I129" s="74"/>
      <c r="J129" s="66"/>
    </row>
    <row r="130" spans="1:10" ht="15.75" customHeight="1">
      <c r="A130" s="86"/>
      <c r="B130" s="65"/>
      <c r="C130" s="74"/>
      <c r="D130" s="74"/>
      <c r="E130" s="74"/>
      <c r="F130" s="74"/>
      <c r="G130" s="74"/>
      <c r="H130" s="74"/>
      <c r="I130" s="74"/>
      <c r="J130" s="66"/>
    </row>
    <row r="131" spans="1:10" ht="15.75" customHeight="1">
      <c r="A131" s="86"/>
      <c r="B131" s="65"/>
      <c r="C131" s="74"/>
      <c r="D131" s="74"/>
      <c r="E131" s="74"/>
      <c r="F131" s="74"/>
      <c r="G131" s="74"/>
      <c r="H131" s="74"/>
      <c r="I131" s="74"/>
      <c r="J131" s="66"/>
    </row>
    <row r="132" spans="1:10" ht="15.75" customHeight="1">
      <c r="A132" s="86"/>
      <c r="B132" s="65"/>
      <c r="C132" s="74"/>
      <c r="D132" s="74"/>
      <c r="E132" s="74"/>
      <c r="F132" s="74"/>
      <c r="G132" s="74"/>
      <c r="H132" s="74"/>
      <c r="I132" s="74"/>
      <c r="J132" s="66"/>
    </row>
    <row r="133" spans="1:10" ht="15.75" customHeight="1">
      <c r="A133" s="86"/>
      <c r="B133" s="65"/>
      <c r="C133" s="65"/>
      <c r="D133" s="65"/>
      <c r="E133" s="65"/>
      <c r="F133" s="65"/>
      <c r="G133" s="65"/>
      <c r="H133" s="65"/>
      <c r="I133" s="65"/>
      <c r="J133" s="66"/>
    </row>
    <row r="134" spans="1:10" ht="15.75" customHeight="1">
      <c r="A134" s="86"/>
      <c r="B134" s="65"/>
      <c r="C134" s="65"/>
      <c r="D134" s="65"/>
      <c r="E134" s="65"/>
      <c r="F134" s="65"/>
      <c r="G134" s="65"/>
      <c r="H134" s="65"/>
      <c r="I134" s="65"/>
      <c r="J134" s="66"/>
    </row>
    <row r="135" spans="1:10" ht="15.75" customHeight="1">
      <c r="A135" s="86"/>
      <c r="B135" s="65"/>
      <c r="C135" s="65"/>
      <c r="D135" s="65"/>
      <c r="E135" s="65"/>
      <c r="F135" s="65"/>
      <c r="G135" s="65"/>
      <c r="H135" s="65"/>
      <c r="I135" s="65"/>
      <c r="J135" s="66"/>
    </row>
    <row r="136" spans="1:10" s="13" customFormat="1" ht="15.75" customHeight="1">
      <c r="A136" s="64"/>
      <c r="B136" s="65"/>
      <c r="C136" s="65"/>
      <c r="D136" s="65"/>
      <c r="E136" s="65"/>
      <c r="F136" s="65"/>
      <c r="G136" s="65"/>
      <c r="H136" s="65"/>
      <c r="I136" s="65"/>
      <c r="J136" s="66"/>
    </row>
    <row r="137" spans="1:10" s="13" customFormat="1" ht="15.75" customHeight="1">
      <c r="A137" s="64"/>
      <c r="B137" s="65"/>
      <c r="C137" s="65"/>
      <c r="D137" s="65"/>
      <c r="E137" s="65"/>
      <c r="F137" s="65"/>
      <c r="G137" s="65"/>
      <c r="H137" s="65"/>
      <c r="I137" s="65"/>
      <c r="J137" s="66"/>
    </row>
    <row r="138" spans="1:10" s="13" customFormat="1" ht="15.75" customHeight="1">
      <c r="A138" s="64"/>
      <c r="B138" s="65"/>
      <c r="C138" s="65"/>
      <c r="D138" s="65"/>
      <c r="E138" s="65"/>
      <c r="F138" s="65"/>
      <c r="G138" s="65"/>
      <c r="H138" s="65"/>
      <c r="I138" s="65"/>
      <c r="J138" s="66"/>
    </row>
    <row r="139" spans="1:10" s="13" customFormat="1" ht="15.75" customHeight="1">
      <c r="A139" s="64"/>
      <c r="B139" s="65"/>
      <c r="C139" s="65"/>
      <c r="D139" s="65"/>
      <c r="E139" s="65"/>
      <c r="F139" s="65"/>
      <c r="G139" s="65"/>
      <c r="H139" s="65"/>
      <c r="I139" s="65"/>
      <c r="J139" s="66"/>
    </row>
    <row r="140" spans="1:10" s="13" customFormat="1" ht="15.75" customHeight="1">
      <c r="A140" s="64"/>
      <c r="B140" s="65"/>
      <c r="C140" s="65"/>
      <c r="D140" s="65"/>
      <c r="E140" s="65"/>
      <c r="F140" s="65"/>
      <c r="G140" s="65"/>
      <c r="H140" s="65"/>
      <c r="I140" s="65"/>
      <c r="J140" s="66"/>
    </row>
    <row r="141" spans="1:10" s="13" customFormat="1" ht="21.6" customHeight="1">
      <c r="A141" s="64"/>
      <c r="B141" s="65"/>
      <c r="C141" s="65"/>
      <c r="D141" s="65"/>
      <c r="E141" s="65"/>
      <c r="F141" s="65"/>
      <c r="G141" s="65"/>
      <c r="H141" s="65"/>
      <c r="I141" s="65"/>
      <c r="J141" s="66"/>
    </row>
    <row r="142" spans="1:10" s="13" customFormat="1" ht="21.6" customHeight="1">
      <c r="A142" s="64"/>
      <c r="B142" s="65"/>
      <c r="C142" s="65"/>
      <c r="D142" s="65"/>
      <c r="E142" s="65"/>
      <c r="F142" s="65"/>
      <c r="G142" s="65"/>
      <c r="H142" s="65"/>
      <c r="I142" s="65"/>
      <c r="J142" s="66"/>
    </row>
    <row r="143" spans="1:10" s="13" customFormat="1" ht="21.6" customHeight="1">
      <c r="A143" s="64"/>
      <c r="B143" s="65"/>
      <c r="C143" s="65"/>
      <c r="D143" s="65"/>
      <c r="E143" s="65"/>
      <c r="F143" s="65"/>
      <c r="G143" s="65"/>
      <c r="H143" s="65"/>
      <c r="I143" s="65"/>
      <c r="J143" s="66"/>
    </row>
    <row r="144" spans="1:10" s="13" customFormat="1" ht="21.6" customHeight="1">
      <c r="A144" s="64"/>
      <c r="B144" s="65"/>
      <c r="C144" s="65"/>
      <c r="D144" s="65"/>
      <c r="E144" s="65"/>
      <c r="F144" s="65"/>
      <c r="G144" s="65"/>
      <c r="H144" s="65"/>
      <c r="I144" s="65"/>
      <c r="J144" s="66"/>
    </row>
    <row r="145" spans="1:10" s="13" customFormat="1" ht="21.6" customHeight="1">
      <c r="A145" s="64"/>
      <c r="B145" s="65"/>
      <c r="C145" s="65"/>
      <c r="D145" s="65"/>
      <c r="E145" s="65"/>
      <c r="F145" s="65"/>
      <c r="G145" s="65"/>
      <c r="H145" s="65"/>
      <c r="I145" s="65"/>
      <c r="J145" s="66"/>
    </row>
    <row r="146" spans="1:10" s="13" customFormat="1" ht="21.6" customHeight="1">
      <c r="A146" s="64"/>
      <c r="B146" s="65"/>
      <c r="C146" s="65"/>
      <c r="D146" s="65"/>
      <c r="E146" s="65"/>
      <c r="F146" s="65"/>
      <c r="G146" s="65"/>
      <c r="H146" s="65"/>
      <c r="I146" s="65"/>
      <c r="J146" s="66"/>
    </row>
    <row r="147" spans="1:10" s="13" customFormat="1" ht="21.6" customHeight="1">
      <c r="A147" s="64"/>
      <c r="B147" s="65"/>
      <c r="C147" s="65"/>
      <c r="D147" s="65"/>
      <c r="E147" s="65"/>
      <c r="F147" s="65"/>
      <c r="G147" s="65"/>
      <c r="H147" s="65"/>
      <c r="I147" s="65"/>
      <c r="J147" s="66"/>
    </row>
    <row r="148" spans="1:10" s="13" customFormat="1" ht="21.6" customHeight="1">
      <c r="A148" s="64"/>
      <c r="B148" s="65"/>
      <c r="C148" s="65"/>
      <c r="D148" s="65"/>
      <c r="E148" s="65"/>
      <c r="F148" s="65"/>
      <c r="G148" s="65"/>
      <c r="H148" s="65"/>
      <c r="I148" s="65"/>
      <c r="J148" s="66"/>
    </row>
    <row r="149" spans="1:10" s="13" customFormat="1" ht="21.6" customHeight="1">
      <c r="A149" s="64"/>
      <c r="B149" s="65"/>
      <c r="C149" s="65"/>
      <c r="D149" s="65"/>
      <c r="E149" s="65"/>
      <c r="F149" s="65"/>
      <c r="G149" s="65"/>
      <c r="H149" s="65"/>
      <c r="I149" s="65"/>
      <c r="J149" s="66"/>
    </row>
    <row r="150" spans="1:10" s="13" customFormat="1" ht="21.6" customHeight="1">
      <c r="A150" s="64"/>
      <c r="B150" s="65"/>
      <c r="C150" s="65"/>
      <c r="D150" s="65"/>
      <c r="E150" s="65"/>
      <c r="F150" s="65"/>
      <c r="G150" s="65"/>
      <c r="H150" s="65"/>
      <c r="I150" s="65"/>
      <c r="J150" s="66"/>
    </row>
    <row r="151" spans="1:10" s="13" customFormat="1" ht="21.6" customHeight="1">
      <c r="A151" s="64"/>
      <c r="B151" s="65"/>
      <c r="C151" s="65"/>
      <c r="D151" s="65"/>
      <c r="E151" s="65"/>
      <c r="F151" s="65"/>
      <c r="G151" s="65"/>
      <c r="H151" s="65"/>
      <c r="I151" s="65"/>
      <c r="J151" s="66"/>
    </row>
    <row r="152" spans="1:10" s="13" customFormat="1" ht="21.6" customHeight="1">
      <c r="A152" s="64"/>
      <c r="B152" s="65"/>
      <c r="C152" s="65"/>
      <c r="D152" s="65"/>
      <c r="E152" s="65"/>
      <c r="F152" s="65"/>
      <c r="G152" s="65"/>
      <c r="H152" s="65"/>
      <c r="I152" s="65"/>
      <c r="J152" s="66"/>
    </row>
    <row r="153" spans="1:10" s="13" customFormat="1" ht="18" customHeight="1" thickBot="1">
      <c r="A153" s="110"/>
      <c r="B153" s="96"/>
      <c r="C153" s="96"/>
      <c r="D153" s="96"/>
      <c r="E153" s="96"/>
      <c r="F153" s="96"/>
      <c r="G153" s="96"/>
      <c r="H153" s="96"/>
      <c r="I153" s="96"/>
      <c r="J153" s="102"/>
    </row>
    <row r="154" spans="1:10" ht="7.9" customHeight="1"/>
  </sheetData>
  <sheetProtection password="CC9A" sheet="1" objects="1" scenarios="1" formatCells="0" formatRows="0" insertRows="0" deleteRows="0"/>
  <mergeCells count="18">
    <mergeCell ref="B7:J18"/>
    <mergeCell ref="H57:J57"/>
    <mergeCell ref="B81:G81"/>
    <mergeCell ref="A55:J55"/>
    <mergeCell ref="B56:H56"/>
    <mergeCell ref="I56:J56"/>
    <mergeCell ref="B57:F57"/>
    <mergeCell ref="A2:J2"/>
    <mergeCell ref="H4:J4"/>
    <mergeCell ref="B5:D5"/>
    <mergeCell ref="B4:F4"/>
    <mergeCell ref="B3:H3"/>
    <mergeCell ref="I3:J3"/>
    <mergeCell ref="A109:J109"/>
    <mergeCell ref="B110:H110"/>
    <mergeCell ref="I110:J110"/>
    <mergeCell ref="B111:F111"/>
    <mergeCell ref="H111:J111"/>
  </mergeCells>
  <phoneticPr fontId="3"/>
  <dataValidations count="1">
    <dataValidation type="list" allowBlank="1" showInputMessage="1" showErrorMessage="1" sqref="H78">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3" manualBreakCount="3">
    <brk id="53" max="16383" man="1"/>
    <brk id="107" max="9" man="1"/>
    <brk id="15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42"/>
  <sheetViews>
    <sheetView showGridLines="0" view="pageBreakPreview" topLeftCell="A220" zoomScaleNormal="100" zoomScaleSheetLayoutView="100" workbookViewId="0">
      <selection activeCell="H231" sqref="H231"/>
    </sheetView>
  </sheetViews>
  <sheetFormatPr defaultColWidth="9" defaultRowHeight="13.5"/>
  <cols>
    <col min="1" max="1" width="6" style="12" customWidth="1"/>
    <col min="2" max="2" width="4.875" style="12" customWidth="1"/>
    <col min="3" max="3" width="8.125" style="12" customWidth="1"/>
    <col min="4" max="4" width="18.75" style="12" customWidth="1"/>
    <col min="5" max="5" width="9.5" style="12" customWidth="1"/>
    <col min="6" max="6" width="5.75" style="12" customWidth="1"/>
    <col min="7" max="7" width="10" style="12" customWidth="1"/>
    <col min="8" max="8" width="8.875" style="12" customWidth="1"/>
    <col min="9" max="9" width="7.125" style="12" customWidth="1"/>
    <col min="10" max="10" width="5.125" style="12" customWidth="1"/>
    <col min="11" max="11" width="6.5" style="12" customWidth="1"/>
    <col min="12" max="12" width="11.625" style="12" customWidth="1"/>
    <col min="13" max="13" width="16.625" style="12" bestFit="1" customWidth="1"/>
    <col min="14" max="16384" width="9" style="12"/>
  </cols>
  <sheetData>
    <row r="1" spans="1:18" ht="14.25" thickBot="1">
      <c r="A1" s="107"/>
      <c r="B1" s="107"/>
      <c r="C1" s="107"/>
      <c r="D1" s="107"/>
      <c r="E1" s="107"/>
      <c r="F1" s="107"/>
      <c r="G1" s="107"/>
      <c r="H1" s="107"/>
      <c r="I1" s="107"/>
      <c r="J1" s="107"/>
      <c r="K1" s="107"/>
    </row>
    <row r="2" spans="1:18" s="13" customFormat="1" ht="18.75" customHeight="1" thickBot="1">
      <c r="A2" s="732" t="s">
        <v>171</v>
      </c>
      <c r="B2" s="733"/>
      <c r="C2" s="733"/>
      <c r="D2" s="733"/>
      <c r="E2" s="733"/>
      <c r="F2" s="733"/>
      <c r="G2" s="733"/>
      <c r="H2" s="733"/>
      <c r="I2" s="733"/>
      <c r="J2" s="733"/>
      <c r="K2" s="734"/>
    </row>
    <row r="3" spans="1:18" s="13" customFormat="1" ht="28.5" customHeight="1" thickTop="1">
      <c r="A3" s="14" t="s">
        <v>179</v>
      </c>
      <c r="B3" s="711" t="str">
        <f>+表紙!$B$3&amp;"　　（５．エネルギー消費量）"</f>
        <v>アンダーカウンター洗浄機、ドアタイプ洗浄機（選択してください）　　（５．エネルギー消費量）</v>
      </c>
      <c r="C3" s="712"/>
      <c r="D3" s="712"/>
      <c r="E3" s="712"/>
      <c r="F3" s="712"/>
      <c r="G3" s="712"/>
      <c r="H3" s="745"/>
      <c r="I3" s="712" t="str">
        <f>"ガス種："&amp;表紙!$I$11</f>
        <v>ガス種：(選択して下さい)</v>
      </c>
      <c r="J3" s="712"/>
      <c r="K3" s="779"/>
    </row>
    <row r="4" spans="1:18" s="13" customFormat="1" ht="17.25" customHeight="1" thickBot="1">
      <c r="A4" s="15" t="s">
        <v>378</v>
      </c>
      <c r="B4" s="789" t="str">
        <f>IF(表紙!$B$6=0,"",表紙!$B$6)</f>
        <v/>
      </c>
      <c r="C4" s="789"/>
      <c r="D4" s="790"/>
      <c r="E4" s="790"/>
      <c r="F4" s="791"/>
      <c r="G4" s="374" t="s">
        <v>3</v>
      </c>
      <c r="H4" s="793" t="str">
        <f>IF(表紙!$H$5=0,"",表紙!$H$5)</f>
        <v/>
      </c>
      <c r="I4" s="794"/>
      <c r="J4" s="794"/>
      <c r="K4" s="795"/>
    </row>
    <row r="5" spans="1:18" s="13" customFormat="1" ht="15.75" customHeight="1">
      <c r="A5" s="283" t="s">
        <v>27</v>
      </c>
      <c r="B5" s="766" t="s">
        <v>35</v>
      </c>
      <c r="C5" s="801"/>
      <c r="D5" s="350"/>
      <c r="E5" s="766" t="s">
        <v>70</v>
      </c>
      <c r="F5" s="767"/>
      <c r="G5" s="284"/>
      <c r="H5" s="765" t="s">
        <v>36</v>
      </c>
      <c r="I5" s="284"/>
      <c r="J5" s="770" t="s">
        <v>69</v>
      </c>
      <c r="K5" s="10"/>
    </row>
    <row r="6" spans="1:18" s="13" customFormat="1" ht="15.75" customHeight="1" thickBot="1">
      <c r="A6" s="285" t="s">
        <v>28</v>
      </c>
      <c r="B6" s="635"/>
      <c r="C6" s="802"/>
      <c r="D6" s="351"/>
      <c r="E6" s="635"/>
      <c r="F6" s="636"/>
      <c r="G6" s="286"/>
      <c r="H6" s="608"/>
      <c r="I6" s="286"/>
      <c r="J6" s="771"/>
      <c r="K6" s="11"/>
    </row>
    <row r="7" spans="1:18" s="13" customFormat="1" ht="6.6" customHeight="1">
      <c r="A7" s="183"/>
      <c r="B7" s="65"/>
      <c r="C7" s="65"/>
      <c r="D7" s="65"/>
      <c r="E7" s="65"/>
      <c r="F7" s="65"/>
      <c r="G7" s="65"/>
      <c r="H7" s="65"/>
      <c r="I7" s="65"/>
      <c r="J7" s="65"/>
      <c r="K7" s="184"/>
    </row>
    <row r="8" spans="1:18" s="13" customFormat="1" ht="15.75" customHeight="1">
      <c r="A8" s="64"/>
      <c r="B8" s="68" t="s">
        <v>62</v>
      </c>
      <c r="C8" s="65"/>
      <c r="D8" s="65"/>
      <c r="E8" s="65"/>
      <c r="F8" s="65"/>
      <c r="G8" s="65"/>
      <c r="H8" s="65"/>
      <c r="I8" s="65"/>
      <c r="J8" s="65"/>
      <c r="K8" s="66"/>
    </row>
    <row r="9" spans="1:18" s="13" customFormat="1" ht="14.25" customHeight="1">
      <c r="A9" s="64"/>
      <c r="B9" s="81" t="s">
        <v>476</v>
      </c>
      <c r="C9" s="65"/>
      <c r="D9" s="65"/>
      <c r="E9" s="65"/>
      <c r="F9" s="65"/>
      <c r="G9" s="65"/>
      <c r="H9" s="65"/>
      <c r="I9" s="65"/>
      <c r="J9" s="65"/>
      <c r="K9" s="66"/>
    </row>
    <row r="10" spans="1:18" s="13" customFormat="1" ht="33.75" customHeight="1">
      <c r="A10" s="64"/>
      <c r="B10" s="381" t="s">
        <v>478</v>
      </c>
      <c r="C10" s="381"/>
      <c r="D10" s="381"/>
      <c r="E10" s="381"/>
      <c r="F10" s="381"/>
      <c r="G10" s="381"/>
      <c r="H10" s="72"/>
      <c r="I10" s="65"/>
      <c r="J10" s="65"/>
      <c r="K10" s="66"/>
    </row>
    <row r="11" spans="1:18" s="13" customFormat="1" ht="31.5" customHeight="1">
      <c r="A11" s="64"/>
      <c r="B11" s="381" t="s">
        <v>479</v>
      </c>
      <c r="C11" s="381"/>
      <c r="D11" s="381"/>
      <c r="E11" s="381"/>
      <c r="F11" s="381"/>
      <c r="G11" s="381"/>
      <c r="H11" s="381"/>
      <c r="I11" s="72"/>
      <c r="J11" s="65"/>
      <c r="K11" s="66"/>
    </row>
    <row r="12" spans="1:18" s="13" customFormat="1" ht="18" customHeight="1" thickBot="1">
      <c r="A12" s="64"/>
      <c r="B12" s="65"/>
      <c r="C12" s="65"/>
      <c r="D12" s="65"/>
      <c r="E12" s="65"/>
      <c r="F12" s="65"/>
      <c r="G12" s="192" t="s">
        <v>27</v>
      </c>
      <c r="H12" s="193" t="s">
        <v>28</v>
      </c>
      <c r="I12" s="65"/>
      <c r="J12" s="65"/>
      <c r="K12" s="66"/>
    </row>
    <row r="13" spans="1:18" s="13" customFormat="1" ht="19.5" customHeight="1" thickBot="1">
      <c r="A13" s="64"/>
      <c r="B13" s="65" t="s">
        <v>513</v>
      </c>
      <c r="C13" s="65"/>
      <c r="D13" s="65"/>
      <c r="E13" s="65"/>
      <c r="F13" s="119" t="s">
        <v>251</v>
      </c>
      <c r="G13" s="327" t="b">
        <f>IF(表紙!$G$16="選択してください","",IF(表紙!$G$16="A.給湯(標準温度:60℃)を接続し、立上り時の給湯が洗浄タンクに直接入る場合",IF('3.立上り性能A'!G70&lt;&gt;"",'3.立上り性能A'!G70,""),IF(表紙!$G$16="B.給湯(標準温度:60℃)を接続し、立上り時の給湯が仕上げすすぎﾀﾝｸに入る場合",IF('3.立上り性能B'!F67&lt;&gt;"",'3.立上り性能B'!F67,""),IF(表紙!$G$16="C.給水(標準温度:15℃)を接続する場合",IF('3.立上り性能C'!F67&lt;&gt;"",'3.立上り性能C'!F67,"")))))</f>
        <v>0</v>
      </c>
      <c r="H13" s="327" t="b">
        <f>IF(表紙!$G$16="選択してください","",IF(表紙!$G$16="A.給湯(標準温度:60℃)を接続し、立上り時の給湯が洗浄タンクに直接入る場合",IF('3.立上り性能A'!H70&lt;&gt;"",'3.立上り性能A'!H70,""),IF(表紙!$G$16="B.給湯(標準温度:60℃)を接続し、立上り時の給湯が仕上げすすぎﾀﾝｸに入る場合",IF('3.立上り性能B'!G67&lt;&gt;"",'3.立上り性能B'!G67,""),IF(表紙!$G$16="C.給水(標準温度:15℃)を接続する場合",IF('3.立上り性能C'!G67&lt;&gt;"",'3.立上り性能C'!G67,"")))))</f>
        <v>0</v>
      </c>
      <c r="I13" s="387" t="s">
        <v>54</v>
      </c>
      <c r="J13" s="757" t="s">
        <v>25</v>
      </c>
      <c r="K13" s="758"/>
      <c r="M13" s="237" t="s">
        <v>150</v>
      </c>
      <c r="N13" s="236" t="b">
        <f>IF(表紙!$G$16="選択してください","",IF(表紙!$G$16="A.給湯(標準温度:60℃)を接続し、立上り時の給湯が洗浄タンクに直接入る場合",IF('3.立上り性能A'!N70&lt;&gt;"",'3.立上り性能A'!N70,""),IF(表紙!$G$16="B.給湯(標準温度:60℃)を接続し、立上り時の給湯が仕上げすすぎﾀﾝｸに入る場合",IF('3.立上り性能B'!M67&lt;&gt;"",'3.立上り性能B'!M67,""),IF(表紙!$G$16="C.給水(標準温度:15℃)を接続する場合",IF('3.立上り性能C'!M67&lt;&gt;"",'3.立上り性能C'!M67,"")))))</f>
        <v>0</v>
      </c>
      <c r="O13" s="13" t="str">
        <f>IF($N$13=60,"エネ給湯温",IF($N$13=15,"エネ給水温","エネ空水温"))</f>
        <v>エネ空水温</v>
      </c>
    </row>
    <row r="14" spans="1:18" s="13" customFormat="1" ht="19.5" customHeight="1">
      <c r="A14" s="64"/>
      <c r="B14" s="389" t="s">
        <v>482</v>
      </c>
      <c r="C14" s="65"/>
      <c r="D14" s="65"/>
      <c r="E14" s="65"/>
      <c r="F14" s="119" t="s">
        <v>481</v>
      </c>
      <c r="G14" s="328" t="b">
        <f>IF(表紙!$G$16="選択してください","",IF(表紙!$G$16="A.給湯(標準温度:60℃)を接続し、立上り時の給湯が洗浄タンクに直接入る場合",IF('3.立上り性能A'!G29&lt;&gt;"",'3.立上り性能A'!G29,""),IF(表紙!$G$16="B.給湯(標準温度:60℃)を接続し、立上り時の給湯が仕上げすすぎﾀﾝｸに入る場合",IF('3.立上り性能B'!F29&lt;&gt;"",'3.立上り性能B'!F29,""),IF(表紙!$G$16="C.給水(標準温度:15℃)を接続する場合",IF('3.立上り性能C'!F29&lt;&gt;"",'3.立上り性能C'!F29,"")))))</f>
        <v>0</v>
      </c>
      <c r="H14" s="328" t="b">
        <f>IF(表紙!$G$16="選択してください","",IF(表紙!$G$16="A.給湯(標準温度:60℃)を接続し、立上り時の給湯が洗浄タンクに直接入る場合",IF('3.立上り性能A'!H29&lt;&gt;"",'3.立上り性能A'!H29,""),IF(表紙!$G$16="B.給湯(標準温度:60℃)を接続し、立上り時の給湯が仕上げすすぎﾀﾝｸに入る場合",IF('3.立上り性能B'!G29&lt;&gt;"",'3.立上り性能B'!G29,""),IF(表紙!$G$16="C.給水(標準温度:15℃)を接続する場合",IF('3.立上り性能C'!G29&lt;&gt;"",'3.立上り性能C'!G29,"")))))</f>
        <v>0</v>
      </c>
      <c r="I14" s="387" t="s">
        <v>46</v>
      </c>
      <c r="J14" s="757" t="s">
        <v>24</v>
      </c>
      <c r="K14" s="758"/>
      <c r="P14" s="17"/>
      <c r="Q14" s="17"/>
      <c r="R14" s="17"/>
    </row>
    <row r="15" spans="1:18" s="13" customFormat="1" ht="19.5" customHeight="1">
      <c r="A15" s="64"/>
      <c r="B15" s="389" t="s">
        <v>468</v>
      </c>
      <c r="C15" s="65"/>
      <c r="D15" s="65"/>
      <c r="E15" s="65"/>
      <c r="F15" s="119" t="s">
        <v>340</v>
      </c>
      <c r="G15" s="328" t="b">
        <f>IF(表紙!$G$16="選択してください","",IF(表紙!$G$16="A.給湯(標準温度:60℃)を接続し、立上り時の給湯が洗浄タンクに直接入る場合",IF('3.立上り性能A'!G28&lt;&gt;"",'3.立上り性能A'!G28,""),IF(表紙!$G$16="B.給湯(標準温度:60℃)を接続し、立上り時の給湯が仕上げすすぎﾀﾝｸに入る場合",IF('3.立上り性能B'!F28&lt;&gt;"",'3.立上り性能B'!F28,""),IF(表紙!$G$16="C.給水(標準温度:15℃)を接続する場合",IF('3.立上り性能C'!F28&lt;&gt;"",'3.立上り性能C'!F28,"")))))</f>
        <v>0</v>
      </c>
      <c r="H15" s="328" t="b">
        <f>IF(表紙!$G$16="選択してください","",IF(表紙!$G$16="A.給湯(標準温度:60℃)を接続し、立上り時の給湯が洗浄タンクに直接入る場合",IF('3.立上り性能A'!H28&lt;&gt;"",'3.立上り性能A'!H28,""),IF(表紙!$G$16="B.給湯(標準温度:60℃)を接続し、立上り時の給湯が仕上げすすぎﾀﾝｸに入る場合",IF('3.立上り性能B'!G28&lt;&gt;"",'3.立上り性能B'!G28,""),IF(表紙!$G$16="C.給水(標準温度:15℃)を接続する場合",IF('3.立上り性能C'!G28&lt;&gt;"",'3.立上り性能C'!G28,"")))))</f>
        <v>0</v>
      </c>
      <c r="I15" s="387" t="s">
        <v>17</v>
      </c>
      <c r="J15" s="757" t="s">
        <v>24</v>
      </c>
      <c r="K15" s="758"/>
    </row>
    <row r="16" spans="1:18" s="13" customFormat="1" ht="19.5" customHeight="1">
      <c r="A16" s="64"/>
      <c r="B16" s="389" t="s">
        <v>461</v>
      </c>
      <c r="C16" s="65"/>
      <c r="D16" s="65"/>
      <c r="E16" s="65"/>
      <c r="F16" s="119" t="s">
        <v>469</v>
      </c>
      <c r="G16" s="328" t="b">
        <f>IF(表紙!$G$16="選択してください","",IF(表紙!$G$16="A.給湯(標準温度:60℃)を接続し、立上り時の給湯が洗浄タンクに直接入る場合",IF('3.立上り性能A'!G30&lt;&gt;"",'3.立上り性能A'!G30,""),IF(表紙!$G$16="B.給湯(標準温度:60℃)を接続し、立上り時の給湯が仕上げすすぎﾀﾝｸに入る場合",IF('3.立上り性能B'!F30&lt;&gt;"",'3.立上り性能B'!F30,""),IF(表紙!$G$16="C.給水(標準温度:15℃)を接続する場合",IF('3.立上り性能C'!F30&lt;&gt;"",'3.立上り性能C'!F30,"")))))</f>
        <v>0</v>
      </c>
      <c r="H16" s="328" t="b">
        <f>IF(表紙!$G$16="選択してください","",IF(表紙!$G$16="A.給湯(標準温度:60℃)を接続し、立上り時の給湯が洗浄タンクに直接入る場合",IF('3.立上り性能A'!H30&lt;&gt;"",'3.立上り性能A'!H30,""),IF(表紙!$G$16="B.給湯(標準温度:60℃)を接続し、立上り時の給湯が仕上げすすぎﾀﾝｸに入る場合",IF('3.立上り性能B'!G30&lt;&gt;"",'3.立上り性能B'!G30,""),IF(表紙!$G$16="C.給水(標準温度:15℃)を接続する場合",IF('3.立上り性能C'!G30&lt;&gt;"",'3.立上り性能C'!G30,"")))))</f>
        <v>0</v>
      </c>
      <c r="I16" s="387" t="s">
        <v>17</v>
      </c>
      <c r="J16" s="757" t="s">
        <v>24</v>
      </c>
      <c r="K16" s="758"/>
    </row>
    <row r="17" spans="1:11" s="13" customFormat="1" ht="19.5" customHeight="1">
      <c r="A17" s="64"/>
      <c r="B17" s="389" t="s">
        <v>406</v>
      </c>
      <c r="C17" s="65"/>
      <c r="D17" s="65"/>
      <c r="E17" s="65"/>
      <c r="F17" s="119" t="s">
        <v>470</v>
      </c>
      <c r="G17" s="328" t="b">
        <f>IF(表紙!$G$16="選択してください","",IF(表紙!$G$16="A.給湯(標準温度:60℃)を接続し、立上り時の給湯が洗浄タンクに直接入る場合",IF('3.立上り性能A'!G19&lt;&gt;"",'3.立上り性能A'!G19,""),IF(表紙!$G$16="B.給湯(標準温度:60℃)を接続し、立上り時の給湯が仕上げすすぎﾀﾝｸに入る場合",IF('3.立上り性能B'!F19&lt;&gt;"",'3.立上り性能B'!F19,""),IF(表紙!$G$16="C.給水(標準温度:15℃)を接続する場合",IF('3.立上り性能C'!F19&lt;&gt;"",'3.立上り性能C'!F19,"")))))</f>
        <v>0</v>
      </c>
      <c r="H17" s="328" t="b">
        <f>IF(表紙!$G$16="選択してください","",IF(表紙!$G$16="A.給湯(標準温度:60℃)を接続し、立上り時の給湯が洗浄タンクに直接入る場合",IF('3.立上り性能A'!H19&lt;&gt;"",'3.立上り性能A'!H19,""),IF(表紙!$G$16="B.給湯(標準温度:60℃)を接続し、立上り時の給湯が仕上げすすぎﾀﾝｸに入る場合",IF('3.立上り性能B'!G19&lt;&gt;"",'3.立上り性能B'!G19,""),IF(表紙!$G$16="C.給水(標準温度:15℃)を接続する場合",IF('3.立上り性能C'!G19&lt;&gt;"",'3.立上り性能C'!G19,"")))))</f>
        <v>0</v>
      </c>
      <c r="I17" s="387" t="s">
        <v>17</v>
      </c>
      <c r="J17" s="757" t="s">
        <v>29</v>
      </c>
      <c r="K17" s="758"/>
    </row>
    <row r="18" spans="1:11" s="13" customFormat="1" ht="19.5" customHeight="1">
      <c r="A18" s="64"/>
      <c r="B18" s="389" t="s">
        <v>247</v>
      </c>
      <c r="C18" s="65"/>
      <c r="D18" s="65"/>
      <c r="E18" s="65"/>
      <c r="F18" s="119" t="s">
        <v>471</v>
      </c>
      <c r="G18" s="328" t="str">
        <f>+'6.給水量または給湯量'!H8</f>
        <v/>
      </c>
      <c r="H18" s="328" t="str">
        <f>+'6.給水量または給湯量'!H8</f>
        <v/>
      </c>
      <c r="I18" s="387" t="s">
        <v>87</v>
      </c>
      <c r="J18" s="757" t="s">
        <v>24</v>
      </c>
      <c r="K18" s="758"/>
    </row>
    <row r="19" spans="1:11" s="13" customFormat="1" ht="19.5" customHeight="1">
      <c r="A19" s="64"/>
      <c r="B19" s="389" t="s">
        <v>248</v>
      </c>
      <c r="C19" s="65"/>
      <c r="D19" s="65"/>
      <c r="E19" s="65"/>
      <c r="F19" s="119" t="s">
        <v>253</v>
      </c>
      <c r="G19" s="329" t="str">
        <f>IF(+表紙!$J$12&lt;&gt;"",+表紙!$J$12,"")</f>
        <v/>
      </c>
      <c r="H19" s="329" t="str">
        <f>IF(+表紙!$J$12&lt;&gt;"",+表紙!$J$12,"")</f>
        <v/>
      </c>
      <c r="I19" s="387" t="s">
        <v>87</v>
      </c>
      <c r="J19" s="757" t="s">
        <v>24</v>
      </c>
      <c r="K19" s="758"/>
    </row>
    <row r="20" spans="1:11" s="13" customFormat="1" ht="19.5" customHeight="1">
      <c r="A20" s="64"/>
      <c r="B20" s="389" t="s">
        <v>249</v>
      </c>
      <c r="C20" s="65"/>
      <c r="D20" s="65"/>
      <c r="E20" s="65"/>
      <c r="F20" s="119" t="s">
        <v>254</v>
      </c>
      <c r="G20" s="321">
        <v>4.1900000000000004</v>
      </c>
      <c r="H20" s="321">
        <v>4.1900000000000004</v>
      </c>
      <c r="I20" s="387" t="s">
        <v>84</v>
      </c>
      <c r="J20" s="129"/>
      <c r="K20" s="66"/>
    </row>
    <row r="21" spans="1:11" s="13" customFormat="1" ht="5.25" customHeight="1" thickBot="1">
      <c r="A21" s="64"/>
      <c r="B21" s="65"/>
      <c r="C21" s="125"/>
      <c r="D21" s="74"/>
      <c r="E21" s="74"/>
      <c r="F21" s="185"/>
      <c r="G21" s="74"/>
      <c r="H21" s="65"/>
      <c r="I21" s="387"/>
      <c r="J21" s="129"/>
      <c r="K21" s="66"/>
    </row>
    <row r="22" spans="1:11" s="13" customFormat="1" ht="22.5" customHeight="1" thickBot="1">
      <c r="A22" s="64"/>
      <c r="B22" s="762" t="s">
        <v>250</v>
      </c>
      <c r="C22" s="762"/>
      <c r="D22" s="762"/>
      <c r="E22" s="389"/>
      <c r="F22" s="119" t="s">
        <v>255</v>
      </c>
      <c r="G22" s="330" t="str">
        <f>IF(COUNTBLANK(G13:G20)=0,G13+(G13*((G14-$N$13)*G18+(G15-20)*G19)/((G17-G14)*G18+(G16-G15)*G19)),"")</f>
        <v/>
      </c>
      <c r="H22" s="330" t="str">
        <f>IF(COUNTBLANK(H13:H20)=0,H13+(H13*((H14-$N$13)*H18+(H15-20)*H19)/((H17-H14)*H18+(H16-H15)*H19)),"")</f>
        <v/>
      </c>
      <c r="I22" s="387" t="s">
        <v>54</v>
      </c>
      <c r="J22" s="757" t="s">
        <v>25</v>
      </c>
      <c r="K22" s="758"/>
    </row>
    <row r="23" spans="1:11" s="13" customFormat="1" ht="7.5" customHeight="1" thickBot="1">
      <c r="A23" s="64"/>
      <c r="B23" s="65"/>
      <c r="C23" s="381"/>
      <c r="D23" s="65"/>
      <c r="E23" s="65"/>
      <c r="F23" s="121"/>
      <c r="G23" s="187"/>
      <c r="H23" s="188"/>
      <c r="I23" s="387"/>
      <c r="J23" s="129"/>
      <c r="K23" s="66"/>
    </row>
    <row r="24" spans="1:11" s="13" customFormat="1" ht="22.5" customHeight="1" thickBot="1">
      <c r="A24" s="64"/>
      <c r="B24" s="65"/>
      <c r="C24" s="381"/>
      <c r="D24" s="65"/>
      <c r="E24" s="65"/>
      <c r="F24" s="65"/>
      <c r="G24" s="26" t="s">
        <v>256</v>
      </c>
      <c r="H24" s="352" t="str">
        <f>IF(COUNTBLANK(G22:H22)=0,(G22+H22)/2,"")</f>
        <v/>
      </c>
      <c r="I24" s="387" t="s">
        <v>54</v>
      </c>
      <c r="J24" s="757" t="s">
        <v>25</v>
      </c>
      <c r="K24" s="758"/>
    </row>
    <row r="25" spans="1:11" s="13" customFormat="1" ht="7.5" customHeight="1" thickBot="1">
      <c r="A25" s="64"/>
      <c r="B25" s="65"/>
      <c r="C25" s="381"/>
      <c r="D25" s="65"/>
      <c r="E25" s="65"/>
      <c r="F25" s="65"/>
      <c r="G25" s="121"/>
      <c r="H25" s="189"/>
      <c r="I25" s="387"/>
      <c r="J25" s="129"/>
      <c r="K25" s="66"/>
    </row>
    <row r="26" spans="1:11" s="13" customFormat="1" ht="18" customHeight="1" thickBot="1">
      <c r="A26" s="64"/>
      <c r="B26" s="65"/>
      <c r="C26" s="124"/>
      <c r="D26" s="124"/>
      <c r="E26" s="124"/>
      <c r="F26" s="89"/>
      <c r="G26" s="89" t="s">
        <v>33</v>
      </c>
      <c r="H26" s="331" t="str">
        <f>IF(H24&lt;&gt;"",ABS(G22-H22)/H24,"")</f>
        <v/>
      </c>
      <c r="I26" s="387"/>
      <c r="J26" s="757"/>
      <c r="K26" s="758"/>
    </row>
    <row r="27" spans="1:11" s="13" customFormat="1">
      <c r="A27" s="64"/>
      <c r="B27" s="81" t="s">
        <v>477</v>
      </c>
      <c r="C27" s="65"/>
      <c r="D27" s="65"/>
      <c r="E27" s="65"/>
      <c r="F27" s="65"/>
      <c r="G27" s="65"/>
      <c r="H27" s="65"/>
      <c r="I27" s="65"/>
      <c r="J27" s="65"/>
      <c r="K27" s="66"/>
    </row>
    <row r="28" spans="1:11" s="13" customFormat="1" ht="30.75" customHeight="1">
      <c r="A28" s="64"/>
      <c r="B28" s="381" t="s">
        <v>478</v>
      </c>
      <c r="C28" s="381"/>
      <c r="D28" s="381"/>
      <c r="E28" s="381"/>
      <c r="F28" s="381"/>
      <c r="G28" s="381"/>
      <c r="H28" s="381"/>
      <c r="I28" s="72"/>
      <c r="J28" s="65"/>
      <c r="K28" s="66"/>
    </row>
    <row r="29" spans="1:11" s="13" customFormat="1" ht="30.75" customHeight="1">
      <c r="A29" s="64"/>
      <c r="B29" s="381" t="s">
        <v>479</v>
      </c>
      <c r="C29" s="381"/>
      <c r="D29" s="381"/>
      <c r="E29" s="381"/>
      <c r="F29" s="381"/>
      <c r="G29" s="381"/>
      <c r="H29" s="381"/>
      <c r="I29" s="72"/>
      <c r="J29" s="65"/>
      <c r="K29" s="66"/>
    </row>
    <row r="30" spans="1:11" s="13" customFormat="1" ht="6.75" customHeight="1">
      <c r="A30" s="64"/>
      <c r="B30" s="381"/>
      <c r="C30" s="76"/>
      <c r="D30" s="76"/>
      <c r="E30" s="76"/>
      <c r="F30" s="76"/>
      <c r="G30" s="76"/>
      <c r="H30" s="76"/>
      <c r="I30" s="65"/>
      <c r="J30" s="65"/>
      <c r="K30" s="66"/>
    </row>
    <row r="31" spans="1:11" s="13" customFormat="1" ht="28.5" customHeight="1">
      <c r="A31" s="64"/>
      <c r="B31" s="65"/>
      <c r="C31" s="796" t="s">
        <v>177</v>
      </c>
      <c r="D31" s="797"/>
      <c r="E31" s="797"/>
      <c r="F31" s="797"/>
      <c r="G31" s="797"/>
      <c r="H31" s="797"/>
      <c r="I31" s="797"/>
      <c r="J31" s="797"/>
      <c r="K31" s="798"/>
    </row>
    <row r="32" spans="1:11" s="13" customFormat="1" ht="4.5" customHeight="1" thickBot="1">
      <c r="A32" s="64"/>
      <c r="B32" s="71"/>
      <c r="C32" s="379"/>
      <c r="D32" s="379"/>
      <c r="E32" s="379"/>
      <c r="F32" s="379"/>
      <c r="G32" s="379"/>
      <c r="H32" s="379"/>
      <c r="I32" s="379"/>
      <c r="J32" s="379"/>
      <c r="K32" s="66"/>
    </row>
    <row r="33" spans="1:18" s="13" customFormat="1" ht="20.25" customHeight="1" thickBot="1">
      <c r="A33" s="64"/>
      <c r="B33" s="71"/>
      <c r="C33" s="379"/>
      <c r="D33" s="65"/>
      <c r="E33" s="65"/>
      <c r="F33" s="89" t="s">
        <v>159</v>
      </c>
      <c r="G33" s="332" t="str">
        <f>IF(表紙!K13="(選択してください)","",IF(表紙!K13="ガス","使用しない","使用する"))</f>
        <v/>
      </c>
      <c r="H33" s="65"/>
      <c r="I33" s="379"/>
      <c r="J33" s="379"/>
      <c r="K33" s="66"/>
      <c r="M33" s="238" t="s">
        <v>160</v>
      </c>
      <c r="N33" s="239" t="str">
        <f>IF(G33="使用しない","0.0","1")</f>
        <v>1</v>
      </c>
    </row>
    <row r="34" spans="1:18" s="13" customFormat="1" ht="15.75" customHeight="1" thickBot="1">
      <c r="A34" s="64"/>
      <c r="B34" s="65"/>
      <c r="C34" s="65"/>
      <c r="D34" s="65"/>
      <c r="E34" s="65"/>
      <c r="F34" s="65"/>
      <c r="G34" s="74" t="s">
        <v>27</v>
      </c>
      <c r="H34" s="138" t="s">
        <v>28</v>
      </c>
      <c r="I34" s="65"/>
      <c r="J34" s="65"/>
      <c r="K34" s="66"/>
      <c r="M34" s="20"/>
      <c r="N34" s="20"/>
      <c r="O34" s="17"/>
      <c r="P34" s="17"/>
      <c r="Q34" s="17"/>
      <c r="R34" s="17"/>
    </row>
    <row r="35" spans="1:18" s="17" customFormat="1" ht="19.5" customHeight="1" thickBot="1">
      <c r="A35" s="64"/>
      <c r="B35" s="65" t="s">
        <v>494</v>
      </c>
      <c r="C35" s="65"/>
      <c r="D35" s="65"/>
      <c r="E35" s="65"/>
      <c r="F35" s="119" t="s">
        <v>260</v>
      </c>
      <c r="G35" s="333" t="b">
        <f>IF(表紙!$G$16="選択してください","",IF(表紙!$G$16="A.給湯(標準温度:60℃)を接続し、立上り時の給湯が洗浄タンクに直接入る場合",IF('3.立上り性能A'!G73&lt;&gt;"",'3.立上り性能A'!G73,""),IF(表紙!$G$16="B.給湯(標準温度:60℃)を接続し、立上り時の給湯が仕上げすすぎﾀﾝｸに入る場合",IF('3.立上り性能B'!F69&lt;&gt;"",'3.立上り性能B'!F69,""),IF(表紙!$G$16="C.給水(標準温度:15℃)を接続する場合",IF('3.立上り性能C'!F69&lt;&gt;"",'3.立上り性能C'!F69,"")))))</f>
        <v>0</v>
      </c>
      <c r="H35" s="333" t="b">
        <f>IF(表紙!$G$16="選択してください","",IF(表紙!$G$16="A.給湯(標準温度:60℃)を接続し、立上り時の給湯が洗浄タンクに直接入る場合",IF('3.立上り性能A'!H73&lt;&gt;"",'3.立上り性能A'!H73,""),IF(表紙!$G$16="B.給湯(標準温度:60℃)を接続し、立上り時の給湯が仕上げすすぎﾀﾝｸに入る場合",IF('3.立上り性能B'!G69&lt;&gt;"",'3.立上り性能B'!G69,""),IF(表紙!$G$16="C.給水(標準温度:15℃)を接続する場合",IF('3.立上り性能C'!G69&lt;&gt;"",'3.立上り性能C'!G69,"")))))</f>
        <v>0</v>
      </c>
      <c r="I35" s="387" t="s">
        <v>54</v>
      </c>
      <c r="J35" s="757" t="s">
        <v>25</v>
      </c>
      <c r="K35" s="758"/>
      <c r="M35" s="237" t="s">
        <v>150</v>
      </c>
      <c r="N35" s="236" t="b">
        <f>IF(表紙!$G$16="選択してください","",IF(表紙!$G$16="A.給湯(標準温度:60℃)を接続し、立上り時の給湯が洗浄タンクに直接入る場合",IF('3.立上り性能A'!N70&lt;&gt;"",'3.立上り性能A'!N70,""),IF(表紙!$G$16="B.給湯(標準温度:60℃)を接続し、立上り時の給湯が仕上げすすぎﾀﾝｸに入る場合",IF('3.立上り性能B'!M67&lt;&gt;"",'3.立上り性能B'!M67,""),IF(表紙!$G$16="C.給水(標準温度:15℃)を接続する場合",IF('3.立上り性能C'!M67&lt;&gt;"",'3.立上り性能C'!M67,"")))))</f>
        <v>0</v>
      </c>
      <c r="P35" s="22"/>
      <c r="Q35" s="22"/>
    </row>
    <row r="36" spans="1:18" s="17" customFormat="1" ht="19.5" customHeight="1">
      <c r="A36" s="64"/>
      <c r="B36" s="389" t="s">
        <v>482</v>
      </c>
      <c r="C36" s="65"/>
      <c r="D36" s="65"/>
      <c r="E36" s="65"/>
      <c r="F36" s="119" t="s">
        <v>481</v>
      </c>
      <c r="G36" s="334" t="b">
        <f>IF(表紙!$G$16="選択してください","",IF(表紙!$G$16="A.給湯(標準温度:60℃)を接続し、立上り時の給湯が洗浄タンクに直接入る場合",IF('3.立上り性能A'!G29&lt;&gt;"",'3.立上り性能A'!G29,""),IF(表紙!$G$16="B.給湯(標準温度:60℃)を接続し、立上り時の給湯が仕上げすすぎﾀﾝｸに入る場合",IF('3.立上り性能B'!F29&lt;&gt;"",'3.立上り性能B'!F29,""),IF(表紙!$G$16="C.給水(標準温度:15℃)を接続する場合",IF('3.立上り性能C'!F29&lt;&gt;"",'3.立上り性能C'!F29,"")))))</f>
        <v>0</v>
      </c>
      <c r="H36" s="334" t="b">
        <f>IF(表紙!$G$16="選択してください","",IF(表紙!$G$16="A.給湯(標準温度:60℃)を接続し、立上り時の給湯が洗浄タンクに直接入る場合",IF('3.立上り性能A'!H29&lt;&gt;"",'3.立上り性能A'!H29,""),IF(表紙!$G$16="B.給湯(標準温度:60℃)を接続し、立上り時の給湯が仕上げすすぎﾀﾝｸに入る場合",IF('3.立上り性能B'!G29&lt;&gt;"",'3.立上り性能B'!G29,""),IF(表紙!$G$16="C.給水(標準温度:15℃)を接続する場合",IF('3.立上り性能C'!G29&lt;&gt;"",'3.立上り性能C'!G29,"")))))</f>
        <v>0</v>
      </c>
      <c r="I36" s="387" t="s">
        <v>68</v>
      </c>
      <c r="J36" s="757" t="s">
        <v>24</v>
      </c>
      <c r="K36" s="758"/>
      <c r="M36" s="23"/>
      <c r="N36" s="23"/>
      <c r="P36" s="23"/>
      <c r="Q36" s="23"/>
    </row>
    <row r="37" spans="1:18" s="13" customFormat="1" ht="19.5" customHeight="1">
      <c r="A37" s="64"/>
      <c r="B37" s="389" t="s">
        <v>404</v>
      </c>
      <c r="C37" s="65"/>
      <c r="D37" s="65"/>
      <c r="E37" s="65"/>
      <c r="F37" s="82" t="s">
        <v>403</v>
      </c>
      <c r="G37" s="334" t="b">
        <f>IF(表紙!$G$16="選択してください","",IF(表紙!$G$16="A.給湯(標準温度:60℃)を接続し、立上り時の給湯が洗浄タンクに直接入る場合",IF('3.立上り性能A'!G28&lt;&gt;"",'3.立上り性能A'!G28,""),IF(表紙!$G$16="B.給湯(標準温度:60℃)を接続し、立上り時の給湯が仕上げすすぎﾀﾝｸに入る場合",IF('3.立上り性能B'!F28&lt;&gt;"",'3.立上り性能B'!F28,""),IF(表紙!$G$16="C.給水(標準温度:15℃)を接続する場合",IF('3.立上り性能C'!F28&lt;&gt;"",'3.立上り性能C'!F28,"")))))</f>
        <v>0</v>
      </c>
      <c r="H37" s="334" t="b">
        <f>IF(表紙!$G$16="選択してください","",IF(表紙!$G$16="A.給湯(標準温度:60℃)を接続し、立上り時の給湯が洗浄タンクに直接入る場合",IF('3.立上り性能A'!H28&lt;&gt;"",'3.立上り性能A'!H28,""),IF(表紙!$G$16="B.給湯(標準温度:60℃)を接続し、立上り時の給湯が仕上げすすぎﾀﾝｸに入る場合",IF('3.立上り性能B'!G28&lt;&gt;"",'3.立上り性能B'!G28,""),IF(表紙!$G$16="C.給水(標準温度:15℃)を接続する場合",IF('3.立上り性能C'!G28&lt;&gt;"",'3.立上り性能C'!G28,"")))))</f>
        <v>0</v>
      </c>
      <c r="I37" s="387" t="s">
        <v>17</v>
      </c>
      <c r="J37" s="757" t="s">
        <v>24</v>
      </c>
      <c r="K37" s="758"/>
      <c r="M37" s="23"/>
      <c r="N37" s="23"/>
      <c r="O37" s="17"/>
      <c r="P37" s="23"/>
      <c r="Q37" s="23"/>
      <c r="R37" s="17"/>
    </row>
    <row r="38" spans="1:18" s="17" customFormat="1" ht="19.5" customHeight="1">
      <c r="A38" s="64"/>
      <c r="B38" s="389" t="s">
        <v>257</v>
      </c>
      <c r="C38" s="65"/>
      <c r="D38" s="65"/>
      <c r="E38" s="65"/>
      <c r="F38" s="119" t="s">
        <v>252</v>
      </c>
      <c r="G38" s="334" t="str">
        <f>+'6.給水量または給湯量'!H8</f>
        <v/>
      </c>
      <c r="H38" s="334" t="str">
        <f>+'6.給水量または給湯量'!H8</f>
        <v/>
      </c>
      <c r="I38" s="387" t="s">
        <v>87</v>
      </c>
      <c r="J38" s="757" t="s">
        <v>24</v>
      </c>
      <c r="K38" s="758"/>
    </row>
    <row r="39" spans="1:18" s="17" customFormat="1" ht="19.5" customHeight="1">
      <c r="A39" s="64"/>
      <c r="B39" s="389" t="s">
        <v>258</v>
      </c>
      <c r="C39" s="65"/>
      <c r="D39" s="65"/>
      <c r="E39" s="65"/>
      <c r="F39" s="119" t="s">
        <v>253</v>
      </c>
      <c r="G39" s="334" t="str">
        <f>IF(+表紙!$J$12&lt;&gt;"",+表紙!$J$12,"")</f>
        <v/>
      </c>
      <c r="H39" s="334" t="str">
        <f>IF(+表紙!$J$12&lt;&gt;"",+表紙!$J$12,"")</f>
        <v/>
      </c>
      <c r="I39" s="387" t="s">
        <v>87</v>
      </c>
      <c r="J39" s="757" t="s">
        <v>24</v>
      </c>
      <c r="K39" s="758"/>
    </row>
    <row r="40" spans="1:18" s="17" customFormat="1" ht="19.5" customHeight="1">
      <c r="A40" s="64"/>
      <c r="B40" s="389" t="s">
        <v>259</v>
      </c>
      <c r="C40" s="65"/>
      <c r="D40" s="65"/>
      <c r="E40" s="65"/>
      <c r="F40" s="119" t="s">
        <v>254</v>
      </c>
      <c r="G40" s="321">
        <v>4.1900000000000004</v>
      </c>
      <c r="H40" s="321">
        <v>4.1900000000000004</v>
      </c>
      <c r="I40" s="387" t="s">
        <v>84</v>
      </c>
      <c r="J40" s="129"/>
      <c r="K40" s="66"/>
    </row>
    <row r="41" spans="1:18" s="13" customFormat="1" ht="7.5" customHeight="1" thickBot="1">
      <c r="A41" s="64"/>
      <c r="B41" s="65"/>
      <c r="C41" s="125"/>
      <c r="D41" s="74"/>
      <c r="E41" s="74"/>
      <c r="F41" s="185"/>
      <c r="G41" s="74"/>
      <c r="H41" s="65"/>
      <c r="I41" s="387"/>
      <c r="J41" s="129"/>
      <c r="K41" s="66"/>
    </row>
    <row r="42" spans="1:18" s="13" customFormat="1" ht="21" customHeight="1" thickBot="1">
      <c r="A42" s="64"/>
      <c r="B42" s="381" t="s">
        <v>493</v>
      </c>
      <c r="C42" s="381"/>
      <c r="D42" s="381"/>
      <c r="E42" s="389"/>
      <c r="F42" s="119" t="s">
        <v>261</v>
      </c>
      <c r="G42" s="335" t="str">
        <f>IF(COUNTBLANK(G35:G40)=0,G35+(G40*((G36-$N$35)*G38+(G37-20)*G39))/3600*$N$33,"")</f>
        <v/>
      </c>
      <c r="H42" s="335" t="str">
        <f>IF(COUNTBLANK(H35:H40)=0,H35+(H40*((H36-$N$35)*H38+(H37-20)*H39))/3600*$N$33,"")</f>
        <v/>
      </c>
      <c r="I42" s="387" t="s">
        <v>54</v>
      </c>
      <c r="J42" s="757" t="s">
        <v>25</v>
      </c>
      <c r="K42" s="758"/>
    </row>
    <row r="43" spans="1:18" s="13" customFormat="1" ht="9.75" customHeight="1" thickBot="1">
      <c r="A43" s="64"/>
      <c r="B43" s="389"/>
      <c r="C43" s="389"/>
      <c r="D43" s="389"/>
      <c r="E43" s="389"/>
      <c r="F43" s="119"/>
      <c r="G43" s="187"/>
      <c r="H43" s="187"/>
      <c r="I43" s="387"/>
      <c r="J43" s="387"/>
      <c r="K43" s="388"/>
    </row>
    <row r="44" spans="1:18" s="13" customFormat="1" ht="24" customHeight="1" thickBot="1">
      <c r="A44" s="64"/>
      <c r="B44" s="65"/>
      <c r="C44" s="381"/>
      <c r="D44" s="65"/>
      <c r="E44" s="65"/>
      <c r="F44" s="65"/>
      <c r="G44" s="161" t="s">
        <v>262</v>
      </c>
      <c r="H44" s="353" t="str">
        <f>IF(COUNTBLANK(G42:H42)=0,(G42+H42)/2,"")</f>
        <v/>
      </c>
      <c r="I44" s="387" t="s">
        <v>54</v>
      </c>
      <c r="J44" s="757" t="s">
        <v>25</v>
      </c>
      <c r="K44" s="758"/>
    </row>
    <row r="45" spans="1:18" s="13" customFormat="1" ht="6.75" customHeight="1" thickBot="1">
      <c r="A45" s="64"/>
      <c r="B45" s="65"/>
      <c r="C45" s="381"/>
      <c r="D45" s="65"/>
      <c r="E45" s="65"/>
      <c r="F45" s="65"/>
      <c r="G45" s="121"/>
      <c r="H45" s="189"/>
      <c r="I45" s="387"/>
      <c r="J45" s="129"/>
      <c r="K45" s="66"/>
    </row>
    <row r="46" spans="1:18" s="13" customFormat="1" ht="18.75" customHeight="1" thickBot="1">
      <c r="A46" s="64"/>
      <c r="B46" s="65"/>
      <c r="C46" s="124"/>
      <c r="D46" s="124"/>
      <c r="E46" s="124"/>
      <c r="F46" s="89"/>
      <c r="G46" s="89" t="s">
        <v>33</v>
      </c>
      <c r="H46" s="331" t="str">
        <f>IF(H44&lt;&gt;"",ABS(G42-H42)/H44,"")</f>
        <v/>
      </c>
      <c r="I46" s="387"/>
      <c r="J46" s="757"/>
      <c r="K46" s="758"/>
    </row>
    <row r="47" spans="1:18" s="13" customFormat="1" ht="13.9" customHeight="1" thickBot="1">
      <c r="A47" s="110"/>
      <c r="B47" s="96"/>
      <c r="C47" s="219"/>
      <c r="D47" s="96"/>
      <c r="E47" s="96"/>
      <c r="F47" s="215"/>
      <c r="G47" s="188"/>
      <c r="H47" s="188"/>
      <c r="I47" s="220"/>
      <c r="J47" s="217"/>
      <c r="K47" s="102"/>
    </row>
    <row r="48" spans="1:18" s="13" customFormat="1" ht="13.9" customHeight="1" thickBot="1">
      <c r="A48" s="233"/>
      <c r="B48" s="233"/>
      <c r="C48" s="240"/>
      <c r="D48" s="233"/>
      <c r="E48" s="233"/>
      <c r="F48" s="241"/>
      <c r="G48" s="198"/>
      <c r="H48" s="198"/>
      <c r="I48" s="242"/>
      <c r="J48" s="243"/>
      <c r="K48" s="233"/>
    </row>
    <row r="49" spans="1:11" s="13" customFormat="1" ht="18.75" customHeight="1" thickBot="1">
      <c r="A49" s="732" t="s">
        <v>171</v>
      </c>
      <c r="B49" s="733"/>
      <c r="C49" s="733"/>
      <c r="D49" s="733"/>
      <c r="E49" s="733"/>
      <c r="F49" s="733"/>
      <c r="G49" s="733"/>
      <c r="H49" s="733"/>
      <c r="I49" s="733"/>
      <c r="J49" s="733"/>
      <c r="K49" s="734"/>
    </row>
    <row r="50" spans="1:11" s="13" customFormat="1" ht="28.5" customHeight="1" thickTop="1">
      <c r="A50" s="14" t="s">
        <v>179</v>
      </c>
      <c r="B50" s="711" t="str">
        <f>+表紙!$B$3&amp;"　　（５．エネルギー消費量）"</f>
        <v>アンダーカウンター洗浄機、ドアタイプ洗浄機（選択してください）　　（５．エネルギー消費量）</v>
      </c>
      <c r="C50" s="712"/>
      <c r="D50" s="712"/>
      <c r="E50" s="712"/>
      <c r="F50" s="712"/>
      <c r="G50" s="712"/>
      <c r="H50" s="745"/>
      <c r="I50" s="712" t="str">
        <f>"ガス種："&amp;表紙!$I$11</f>
        <v>ガス種：(選択して下さい)</v>
      </c>
      <c r="J50" s="712"/>
      <c r="K50" s="779"/>
    </row>
    <row r="51" spans="1:11" s="13" customFormat="1" ht="18" customHeight="1" thickBot="1">
      <c r="A51" s="15" t="s">
        <v>378</v>
      </c>
      <c r="B51" s="789" t="str">
        <f>IF(表紙!$B$6=0,"",表紙!$B$6)</f>
        <v/>
      </c>
      <c r="C51" s="789"/>
      <c r="D51" s="790"/>
      <c r="E51" s="790"/>
      <c r="F51" s="791"/>
      <c r="G51" s="374" t="s">
        <v>3</v>
      </c>
      <c r="H51" s="793" t="str">
        <f>IF(表紙!$H$5=0,"",表紙!$H$5)</f>
        <v/>
      </c>
      <c r="I51" s="794"/>
      <c r="J51" s="794"/>
      <c r="K51" s="795"/>
    </row>
    <row r="52" spans="1:11" s="13" customFormat="1" ht="15.75" customHeight="1">
      <c r="A52" s="16" t="s">
        <v>27</v>
      </c>
      <c r="B52" s="766" t="s">
        <v>35</v>
      </c>
      <c r="C52" s="801"/>
      <c r="D52" s="350"/>
      <c r="E52" s="766" t="s">
        <v>70</v>
      </c>
      <c r="F52" s="767"/>
      <c r="G52" s="284"/>
      <c r="H52" s="765" t="s">
        <v>36</v>
      </c>
      <c r="I52" s="284"/>
      <c r="J52" s="803" t="s">
        <v>69</v>
      </c>
      <c r="K52" s="10"/>
    </row>
    <row r="53" spans="1:11" s="13" customFormat="1" ht="15.75" customHeight="1" thickBot="1">
      <c r="A53" s="15" t="s">
        <v>28</v>
      </c>
      <c r="B53" s="635"/>
      <c r="C53" s="802"/>
      <c r="D53" s="351"/>
      <c r="E53" s="635"/>
      <c r="F53" s="636"/>
      <c r="G53" s="286"/>
      <c r="H53" s="608"/>
      <c r="I53" s="286"/>
      <c r="J53" s="608"/>
      <c r="K53" s="11"/>
    </row>
    <row r="54" spans="1:11" s="13" customFormat="1" ht="20.25" customHeight="1">
      <c r="A54" s="64"/>
      <c r="B54" s="65"/>
      <c r="C54" s="381"/>
      <c r="D54" s="65"/>
      <c r="E54" s="65"/>
      <c r="F54" s="121"/>
      <c r="G54" s="187"/>
      <c r="H54" s="187"/>
      <c r="I54" s="387"/>
      <c r="J54" s="129"/>
      <c r="K54" s="66"/>
    </row>
    <row r="55" spans="1:11" s="13" customFormat="1">
      <c r="A55" s="64"/>
      <c r="B55" s="68" t="s">
        <v>107</v>
      </c>
      <c r="C55" s="65"/>
      <c r="D55" s="65"/>
      <c r="E55" s="65"/>
      <c r="F55" s="65"/>
      <c r="G55" s="89"/>
      <c r="H55" s="190"/>
      <c r="I55" s="65"/>
      <c r="J55" s="191"/>
      <c r="K55" s="66"/>
    </row>
    <row r="56" spans="1:11" s="13" customFormat="1" ht="17.25" customHeight="1">
      <c r="A56" s="64"/>
      <c r="B56" s="65"/>
      <c r="C56" s="717" t="s">
        <v>151</v>
      </c>
      <c r="D56" s="717"/>
      <c r="E56" s="717"/>
      <c r="F56" s="717"/>
      <c r="G56" s="717"/>
      <c r="H56" s="717"/>
      <c r="I56" s="717"/>
      <c r="J56" s="717"/>
      <c r="K56" s="66"/>
    </row>
    <row r="57" spans="1:11" s="13" customFormat="1" ht="17.25" customHeight="1">
      <c r="A57" s="64"/>
      <c r="B57" s="65"/>
      <c r="C57" s="717"/>
      <c r="D57" s="717"/>
      <c r="E57" s="717"/>
      <c r="F57" s="717"/>
      <c r="G57" s="717"/>
      <c r="H57" s="717"/>
      <c r="I57" s="717"/>
      <c r="J57" s="717"/>
      <c r="K57" s="66"/>
    </row>
    <row r="58" spans="1:11" s="13" customFormat="1" ht="17.25" customHeight="1">
      <c r="A58" s="64"/>
      <c r="B58" s="81" t="s">
        <v>476</v>
      </c>
      <c r="C58" s="65"/>
      <c r="D58" s="379"/>
      <c r="E58" s="379"/>
      <c r="F58" s="379"/>
      <c r="G58" s="379"/>
      <c r="H58" s="379"/>
      <c r="I58" s="379"/>
      <c r="J58" s="379"/>
      <c r="K58" s="66"/>
    </row>
    <row r="59" spans="1:11" s="13" customFormat="1" ht="36" customHeight="1">
      <c r="A59" s="64"/>
      <c r="B59" s="381" t="s">
        <v>478</v>
      </c>
      <c r="C59" s="381"/>
      <c r="D59" s="381"/>
      <c r="E59" s="381"/>
      <c r="F59" s="381"/>
      <c r="G59" s="381"/>
      <c r="H59" s="72"/>
      <c r="I59" s="72"/>
      <c r="J59" s="65"/>
      <c r="K59" s="66"/>
    </row>
    <row r="60" spans="1:11" s="13" customFormat="1" ht="33.75" customHeight="1">
      <c r="A60" s="64"/>
      <c r="B60" s="381" t="s">
        <v>479</v>
      </c>
      <c r="C60" s="381"/>
      <c r="D60" s="381"/>
      <c r="E60" s="381"/>
      <c r="F60" s="381"/>
      <c r="G60" s="381"/>
      <c r="H60" s="381"/>
      <c r="I60" s="72"/>
      <c r="J60" s="65"/>
      <c r="K60" s="66"/>
    </row>
    <row r="61" spans="1:11" s="13" customFormat="1" ht="9.75" customHeight="1">
      <c r="A61" s="64"/>
      <c r="B61" s="65"/>
      <c r="C61" s="381"/>
      <c r="D61" s="381"/>
      <c r="E61" s="381"/>
      <c r="F61" s="381"/>
      <c r="G61" s="381"/>
      <c r="H61" s="381"/>
      <c r="I61" s="72"/>
      <c r="J61" s="65"/>
      <c r="K61" s="66"/>
    </row>
    <row r="62" spans="1:11" s="13" customFormat="1" ht="17.25" customHeight="1">
      <c r="A62" s="64"/>
      <c r="B62" s="65" t="s">
        <v>440</v>
      </c>
      <c r="C62" s="65"/>
      <c r="D62" s="72"/>
      <c r="E62" s="72"/>
      <c r="F62" s="410"/>
      <c r="G62" s="410"/>
      <c r="H62" s="410"/>
      <c r="I62" s="410"/>
      <c r="J62" s="410"/>
      <c r="K62" s="66"/>
    </row>
    <row r="63" spans="1:11" s="13" customFormat="1" ht="17.25" customHeight="1">
      <c r="A63" s="64"/>
      <c r="B63" s="401"/>
      <c r="C63" s="72"/>
      <c r="D63" s="401"/>
      <c r="E63" s="401"/>
      <c r="F63" s="401"/>
      <c r="G63" s="401"/>
      <c r="H63" s="401"/>
      <c r="I63" s="401"/>
      <c r="J63" s="401"/>
      <c r="K63" s="66"/>
    </row>
    <row r="64" spans="1:11" s="13" customFormat="1" ht="17.25" customHeight="1">
      <c r="A64" s="64"/>
      <c r="B64" s="401"/>
      <c r="C64" s="401"/>
      <c r="D64" s="401"/>
      <c r="E64" s="401"/>
      <c r="F64" s="401"/>
      <c r="G64" s="74" t="s">
        <v>27</v>
      </c>
      <c r="H64" s="138" t="s">
        <v>28</v>
      </c>
      <c r="I64" s="401"/>
      <c r="J64" s="401"/>
      <c r="K64" s="66"/>
    </row>
    <row r="65" spans="1:11" s="13" customFormat="1" ht="17.25" customHeight="1">
      <c r="A65" s="64"/>
      <c r="B65" s="441" t="s">
        <v>353</v>
      </c>
      <c r="C65" s="76"/>
      <c r="D65" s="76"/>
      <c r="E65" s="375"/>
      <c r="F65" s="63" t="s">
        <v>346</v>
      </c>
      <c r="G65" s="309"/>
      <c r="H65" s="309"/>
      <c r="I65" s="426" t="s">
        <v>361</v>
      </c>
      <c r="J65" s="723" t="s">
        <v>25</v>
      </c>
      <c r="K65" s="724"/>
    </row>
    <row r="66" spans="1:11" s="13" customFormat="1" ht="17.25" customHeight="1">
      <c r="A66" s="64"/>
      <c r="B66" s="441" t="s">
        <v>354</v>
      </c>
      <c r="C66" s="76"/>
      <c r="D66" s="76"/>
      <c r="E66" s="76"/>
      <c r="F66" s="63" t="s">
        <v>347</v>
      </c>
      <c r="G66" s="310"/>
      <c r="H66" s="310"/>
      <c r="I66" s="426" t="s">
        <v>507</v>
      </c>
      <c r="J66" s="387" t="s">
        <v>48</v>
      </c>
      <c r="K66" s="66"/>
    </row>
    <row r="67" spans="1:11" s="13" customFormat="1" ht="17.25" customHeight="1">
      <c r="A67" s="64"/>
      <c r="B67" s="441" t="s">
        <v>355</v>
      </c>
      <c r="C67" s="441"/>
      <c r="D67" s="441"/>
      <c r="E67" s="76"/>
      <c r="F67" s="63" t="s">
        <v>348</v>
      </c>
      <c r="G67" s="311"/>
      <c r="H67" s="311"/>
      <c r="I67" s="426" t="s">
        <v>137</v>
      </c>
      <c r="J67" s="723" t="s">
        <v>24</v>
      </c>
      <c r="K67" s="724"/>
    </row>
    <row r="68" spans="1:11" s="13" customFormat="1" ht="17.25" customHeight="1">
      <c r="A68" s="64"/>
      <c r="B68" s="441" t="s">
        <v>356</v>
      </c>
      <c r="C68" s="441"/>
      <c r="D68" s="441"/>
      <c r="E68" s="76"/>
      <c r="F68" s="63" t="s">
        <v>349</v>
      </c>
      <c r="G68" s="312"/>
      <c r="H68" s="312"/>
      <c r="I68" s="426" t="s">
        <v>138</v>
      </c>
      <c r="J68" s="723" t="s">
        <v>29</v>
      </c>
      <c r="K68" s="724"/>
    </row>
    <row r="69" spans="1:11" s="13" customFormat="1" ht="17.25" customHeight="1">
      <c r="A69" s="64"/>
      <c r="B69" s="442" t="s">
        <v>357</v>
      </c>
      <c r="C69" s="442"/>
      <c r="D69" s="442"/>
      <c r="E69" s="442"/>
      <c r="F69" s="63" t="s">
        <v>350</v>
      </c>
      <c r="G69" s="312"/>
      <c r="H69" s="312"/>
      <c r="I69" s="426" t="s">
        <v>138</v>
      </c>
      <c r="J69" s="723" t="s">
        <v>29</v>
      </c>
      <c r="K69" s="724"/>
    </row>
    <row r="70" spans="1:11" s="13" customFormat="1" ht="17.25" customHeight="1">
      <c r="A70" s="64"/>
      <c r="B70" s="442" t="s">
        <v>405</v>
      </c>
      <c r="C70" s="442"/>
      <c r="D70" s="442"/>
      <c r="E70" s="442"/>
      <c r="F70" s="63" t="s">
        <v>351</v>
      </c>
      <c r="G70" s="427" t="str">
        <f>IF(COUNTBLANK(G65:G69)=0,IF(G72="乾　式","0.00",10^(7.203-1735.74/(G67+234))),"")</f>
        <v/>
      </c>
      <c r="H70" s="427" t="str">
        <f>IF(COUNTBLANK(H65:H69)=0,IF(G72="乾　式","0.00",10^(7.203-1735.74/(H67+234))),"")</f>
        <v/>
      </c>
      <c r="I70" s="426" t="s">
        <v>138</v>
      </c>
      <c r="J70" s="723" t="s">
        <v>29</v>
      </c>
      <c r="K70" s="724"/>
    </row>
    <row r="71" spans="1:11" s="13" customFormat="1" ht="6" customHeight="1">
      <c r="A71" s="64"/>
      <c r="B71" s="414"/>
      <c r="C71" s="414"/>
      <c r="D71" s="414"/>
      <c r="E71" s="418"/>
      <c r="F71" s="415"/>
      <c r="G71" s="453"/>
      <c r="H71" s="428"/>
      <c r="I71" s="417"/>
      <c r="J71" s="377"/>
      <c r="K71" s="378"/>
    </row>
    <row r="72" spans="1:11" s="13" customFormat="1" ht="17.25" customHeight="1">
      <c r="A72" s="64"/>
      <c r="B72" s="389" t="s">
        <v>472</v>
      </c>
      <c r="C72" s="65"/>
      <c r="D72" s="381"/>
      <c r="E72" s="381"/>
      <c r="F72" s="443"/>
      <c r="G72" s="468" t="s">
        <v>516</v>
      </c>
      <c r="H72" s="439"/>
      <c r="I72" s="417"/>
      <c r="J72" s="401"/>
      <c r="K72" s="66"/>
    </row>
    <row r="73" spans="1:11" s="13" customFormat="1" ht="17.25" customHeight="1">
      <c r="A73" s="64"/>
      <c r="B73" s="381" t="s">
        <v>343</v>
      </c>
      <c r="C73" s="418"/>
      <c r="D73" s="381"/>
      <c r="E73" s="418"/>
      <c r="F73" s="418"/>
      <c r="G73" s="418"/>
      <c r="H73" s="401"/>
      <c r="I73" s="401"/>
      <c r="J73" s="440"/>
      <c r="K73" s="73"/>
    </row>
    <row r="74" spans="1:11" s="13" customFormat="1" ht="17.25" customHeight="1">
      <c r="A74" s="64"/>
      <c r="B74" s="381" t="s">
        <v>344</v>
      </c>
      <c r="C74" s="418"/>
      <c r="D74" s="381"/>
      <c r="E74" s="418"/>
      <c r="F74" s="418"/>
      <c r="G74" s="418"/>
      <c r="H74" s="418"/>
      <c r="I74" s="418"/>
      <c r="J74" s="401"/>
      <c r="K74" s="66"/>
    </row>
    <row r="75" spans="1:11" s="13" customFormat="1" ht="22.5" customHeight="1">
      <c r="A75" s="64"/>
      <c r="B75" s="729"/>
      <c r="C75" s="730"/>
      <c r="D75" s="730"/>
      <c r="E75" s="730"/>
      <c r="F75" s="730"/>
      <c r="G75" s="730"/>
      <c r="H75" s="74"/>
      <c r="I75" s="65"/>
      <c r="J75" s="65"/>
      <c r="K75" s="101"/>
    </row>
    <row r="76" spans="1:11" s="13" customFormat="1" ht="9" customHeight="1">
      <c r="A76" s="64"/>
      <c r="B76" s="381"/>
      <c r="C76" s="76"/>
      <c r="D76" s="76"/>
      <c r="E76" s="76"/>
      <c r="F76" s="76"/>
      <c r="G76" s="76"/>
      <c r="H76" s="74"/>
      <c r="I76" s="65"/>
      <c r="J76" s="65"/>
      <c r="K76" s="101"/>
    </row>
    <row r="77" spans="1:11" s="13" customFormat="1" ht="9" customHeight="1">
      <c r="A77" s="64"/>
      <c r="B77" s="381"/>
      <c r="C77" s="76"/>
      <c r="D77" s="76"/>
      <c r="E77" s="76"/>
      <c r="F77" s="76"/>
      <c r="G77" s="76"/>
      <c r="H77" s="74"/>
      <c r="I77" s="65"/>
      <c r="J77" s="65"/>
      <c r="K77" s="101"/>
    </row>
    <row r="78" spans="1:11" s="13" customFormat="1">
      <c r="A78" s="64"/>
      <c r="B78" s="381"/>
      <c r="C78" s="76"/>
      <c r="D78" s="76"/>
      <c r="E78" s="76"/>
      <c r="F78" s="76"/>
      <c r="G78" s="74" t="s">
        <v>27</v>
      </c>
      <c r="H78" s="138" t="s">
        <v>28</v>
      </c>
      <c r="I78" s="65"/>
      <c r="J78" s="65"/>
      <c r="K78" s="101"/>
    </row>
    <row r="79" spans="1:11" s="13" customFormat="1" ht="17.25" customHeight="1">
      <c r="A79" s="64"/>
      <c r="B79" s="147" t="s">
        <v>263</v>
      </c>
      <c r="C79" s="278"/>
      <c r="D79" s="278"/>
      <c r="E79" s="418"/>
      <c r="F79" s="119" t="s">
        <v>408</v>
      </c>
      <c r="G79" s="313" t="str">
        <f>IF(COUNTBLANK(G65:G69)=0,(G65*G66*(G68+G69-G70)*273/3600/101.3/(273+G67)),"")</f>
        <v/>
      </c>
      <c r="H79" s="313" t="str">
        <f>IF(COUNTBLANK(H65:H69)=0,(H65*H66*(H68+H69-H70)*273/3600/101.3/(273+H67)),"")</f>
        <v/>
      </c>
      <c r="I79" s="387" t="s">
        <v>54</v>
      </c>
      <c r="J79" s="723" t="s">
        <v>25</v>
      </c>
      <c r="K79" s="724"/>
    </row>
    <row r="80" spans="1:11" s="13" customFormat="1" ht="17.25" customHeight="1">
      <c r="A80" s="64"/>
      <c r="B80" s="389" t="s">
        <v>482</v>
      </c>
      <c r="C80" s="65"/>
      <c r="D80" s="65"/>
      <c r="E80" s="65"/>
      <c r="F80" s="119" t="s">
        <v>481</v>
      </c>
      <c r="G80" s="336"/>
      <c r="H80" s="336"/>
      <c r="I80" s="387" t="s">
        <v>17</v>
      </c>
      <c r="J80" s="757" t="s">
        <v>24</v>
      </c>
      <c r="K80" s="792"/>
    </row>
    <row r="81" spans="1:11" s="13" customFormat="1" ht="17.25" customHeight="1">
      <c r="A81" s="64"/>
      <c r="B81" s="804" t="s">
        <v>407</v>
      </c>
      <c r="C81" s="804"/>
      <c r="D81" s="804"/>
      <c r="E81" s="804"/>
      <c r="F81" s="82" t="s">
        <v>409</v>
      </c>
      <c r="G81" s="336"/>
      <c r="H81" s="336"/>
      <c r="I81" s="387" t="s">
        <v>17</v>
      </c>
      <c r="J81" s="757" t="s">
        <v>24</v>
      </c>
      <c r="K81" s="792"/>
    </row>
    <row r="82" spans="1:11" s="13" customFormat="1" ht="17.25" customHeight="1">
      <c r="A82" s="64"/>
      <c r="B82" s="389" t="s">
        <v>461</v>
      </c>
      <c r="C82" s="65"/>
      <c r="D82" s="65"/>
      <c r="E82" s="65"/>
      <c r="F82" s="119" t="s">
        <v>410</v>
      </c>
      <c r="G82" s="336"/>
      <c r="H82" s="336"/>
      <c r="I82" s="387" t="s">
        <v>17</v>
      </c>
      <c r="J82" s="757" t="s">
        <v>24</v>
      </c>
      <c r="K82" s="758"/>
    </row>
    <row r="83" spans="1:11" s="13" customFormat="1" ht="17.25" customHeight="1">
      <c r="A83" s="64"/>
      <c r="B83" s="389" t="s">
        <v>406</v>
      </c>
      <c r="C83" s="65"/>
      <c r="D83" s="65"/>
      <c r="E83" s="65"/>
      <c r="F83" s="119" t="s">
        <v>411</v>
      </c>
      <c r="G83" s="336"/>
      <c r="H83" s="336"/>
      <c r="I83" s="387" t="s">
        <v>17</v>
      </c>
      <c r="J83" s="757" t="s">
        <v>29</v>
      </c>
      <c r="K83" s="758"/>
    </row>
    <row r="84" spans="1:11" s="13" customFormat="1" ht="17.25" customHeight="1">
      <c r="A84" s="64"/>
      <c r="B84" s="389" t="s">
        <v>264</v>
      </c>
      <c r="C84" s="65"/>
      <c r="D84" s="65"/>
      <c r="E84" s="65"/>
      <c r="F84" s="119" t="s">
        <v>412</v>
      </c>
      <c r="G84" s="328" t="str">
        <f>+'6.給水量または給湯量'!H8</f>
        <v/>
      </c>
      <c r="H84" s="328" t="str">
        <f>+'6.給水量または給湯量'!H8</f>
        <v/>
      </c>
      <c r="I84" s="387" t="s">
        <v>83</v>
      </c>
      <c r="J84" s="757" t="s">
        <v>24</v>
      </c>
      <c r="K84" s="792"/>
    </row>
    <row r="85" spans="1:11" s="13" customFormat="1" ht="17.25" customHeight="1">
      <c r="A85" s="64"/>
      <c r="B85" s="389" t="s">
        <v>267</v>
      </c>
      <c r="C85" s="65"/>
      <c r="D85" s="65"/>
      <c r="E85" s="65"/>
      <c r="F85" s="119" t="s">
        <v>413</v>
      </c>
      <c r="G85" s="329" t="str">
        <f>+G39</f>
        <v/>
      </c>
      <c r="H85" s="329" t="str">
        <f>+H39</f>
        <v/>
      </c>
      <c r="I85" s="387" t="s">
        <v>83</v>
      </c>
      <c r="J85" s="757" t="s">
        <v>29</v>
      </c>
      <c r="K85" s="792"/>
    </row>
    <row r="86" spans="1:11" s="13" customFormat="1" ht="17.25" customHeight="1">
      <c r="A86" s="64"/>
      <c r="B86" s="389" t="s">
        <v>268</v>
      </c>
      <c r="C86" s="65"/>
      <c r="D86" s="65"/>
      <c r="E86" s="65"/>
      <c r="F86" s="119" t="s">
        <v>414</v>
      </c>
      <c r="G86" s="321">
        <v>4.1900000000000004</v>
      </c>
      <c r="H86" s="321">
        <v>4.1900000000000004</v>
      </c>
      <c r="I86" s="387" t="s">
        <v>84</v>
      </c>
      <c r="J86" s="387"/>
      <c r="K86" s="66"/>
    </row>
    <row r="87" spans="1:11" s="13" customFormat="1" ht="17.25" customHeight="1" thickBot="1">
      <c r="A87" s="64"/>
      <c r="B87" s="65"/>
      <c r="C87" s="125"/>
      <c r="D87" s="74"/>
      <c r="E87" s="74"/>
      <c r="F87" s="74"/>
      <c r="G87" s="74"/>
      <c r="H87" s="65"/>
      <c r="I87" s="387"/>
      <c r="J87" s="387"/>
      <c r="K87" s="66"/>
    </row>
    <row r="88" spans="1:11" s="13" customFormat="1" ht="17.25" customHeight="1" thickBot="1">
      <c r="A88" s="64"/>
      <c r="B88" s="65" t="s">
        <v>265</v>
      </c>
      <c r="C88" s="381"/>
      <c r="D88" s="65"/>
      <c r="E88" s="65"/>
      <c r="F88" s="119" t="s">
        <v>269</v>
      </c>
      <c r="G88" s="330" t="str">
        <f>IF(COUNTBLANK(G79:G86)=0,G79+(G79*((G80-$N$13)*G84+(G81-20)*G85)/((G83-G80)*G84+(G82-G81)*G85)),"")</f>
        <v/>
      </c>
      <c r="H88" s="330" t="str">
        <f>IF(COUNTBLANK(H79:H86)=0,H79+(H79*((H80-$N$13)*H84+(H81-20)*H85)/((H83-H80)*H84+(H82-H81)*H85)),"")</f>
        <v/>
      </c>
      <c r="I88" s="387" t="s">
        <v>54</v>
      </c>
      <c r="J88" s="723" t="s">
        <v>25</v>
      </c>
      <c r="K88" s="724"/>
    </row>
    <row r="89" spans="1:11" s="13" customFormat="1" ht="6" customHeight="1" thickBot="1">
      <c r="A89" s="64"/>
      <c r="B89" s="65"/>
      <c r="C89" s="381"/>
      <c r="D89" s="65"/>
      <c r="E89" s="65"/>
      <c r="F89" s="121"/>
      <c r="G89" s="187"/>
      <c r="H89" s="188"/>
      <c r="I89" s="387"/>
      <c r="J89" s="387"/>
      <c r="K89" s="66"/>
    </row>
    <row r="90" spans="1:11" s="13" customFormat="1" ht="24" customHeight="1" thickBot="1">
      <c r="A90" s="64"/>
      <c r="B90" s="65"/>
      <c r="C90" s="381"/>
      <c r="D90" s="65"/>
      <c r="E90" s="65"/>
      <c r="F90" s="65"/>
      <c r="G90" s="26" t="s">
        <v>270</v>
      </c>
      <c r="H90" s="352" t="str">
        <f>IF(COUNTBLANK(G88:H88)=0,(G88+H88)/2,"")</f>
        <v/>
      </c>
      <c r="I90" s="387" t="s">
        <v>54</v>
      </c>
      <c r="J90" s="757" t="s">
        <v>25</v>
      </c>
      <c r="K90" s="792"/>
    </row>
    <row r="91" spans="1:11" s="13" customFormat="1" ht="24" customHeight="1">
      <c r="A91" s="64"/>
      <c r="B91" s="65"/>
      <c r="C91" s="381"/>
      <c r="D91" s="65"/>
      <c r="E91" s="65"/>
      <c r="F91" s="65"/>
      <c r="G91" s="26"/>
      <c r="H91" s="273"/>
      <c r="I91" s="387"/>
      <c r="J91" s="387"/>
      <c r="K91" s="391"/>
    </row>
    <row r="92" spans="1:11" s="13" customFormat="1" ht="10.9" customHeight="1" thickBot="1">
      <c r="A92" s="110"/>
      <c r="B92" s="96"/>
      <c r="C92" s="219"/>
      <c r="D92" s="96"/>
      <c r="E92" s="96"/>
      <c r="F92" s="96"/>
      <c r="G92" s="221"/>
      <c r="H92" s="222"/>
      <c r="I92" s="220"/>
      <c r="J92" s="220"/>
      <c r="K92" s="223"/>
    </row>
    <row r="93" spans="1:11" s="13" customFormat="1" ht="17.25" customHeight="1" thickBot="1">
      <c r="A93" s="233"/>
      <c r="B93" s="233"/>
      <c r="C93" s="244"/>
      <c r="D93" s="244"/>
      <c r="E93" s="244"/>
      <c r="F93" s="244"/>
      <c r="G93" s="244"/>
      <c r="H93" s="244"/>
      <c r="I93" s="244"/>
      <c r="J93" s="244"/>
      <c r="K93" s="233"/>
    </row>
    <row r="94" spans="1:11" s="13" customFormat="1" ht="18.75" customHeight="1" thickBot="1">
      <c r="A94" s="732" t="s">
        <v>171</v>
      </c>
      <c r="B94" s="733"/>
      <c r="C94" s="733"/>
      <c r="D94" s="733"/>
      <c r="E94" s="733"/>
      <c r="F94" s="733"/>
      <c r="G94" s="733"/>
      <c r="H94" s="733"/>
      <c r="I94" s="733"/>
      <c r="J94" s="733"/>
      <c r="K94" s="734"/>
    </row>
    <row r="95" spans="1:11" s="13" customFormat="1" ht="28.5" customHeight="1" thickTop="1">
      <c r="A95" s="14" t="s">
        <v>179</v>
      </c>
      <c r="B95" s="711" t="str">
        <f>+表紙!$B$3&amp;"　　（５．エネルギー消費量）"</f>
        <v>アンダーカウンター洗浄機、ドアタイプ洗浄機（選択してください）　　（５．エネルギー消費量）</v>
      </c>
      <c r="C95" s="712"/>
      <c r="D95" s="712"/>
      <c r="E95" s="712"/>
      <c r="F95" s="712"/>
      <c r="G95" s="712"/>
      <c r="H95" s="745"/>
      <c r="I95" s="712" t="str">
        <f>"ガス種："&amp;表紙!$I$11</f>
        <v>ガス種：(選択して下さい)</v>
      </c>
      <c r="J95" s="712"/>
      <c r="K95" s="779"/>
    </row>
    <row r="96" spans="1:11" s="13" customFormat="1" ht="17.25" customHeight="1" thickBot="1">
      <c r="A96" s="15" t="s">
        <v>378</v>
      </c>
      <c r="B96" s="789" t="str">
        <f>IF(表紙!$B$6=0,"",表紙!$B$6)</f>
        <v/>
      </c>
      <c r="C96" s="789"/>
      <c r="D96" s="790"/>
      <c r="E96" s="790"/>
      <c r="F96" s="791"/>
      <c r="G96" s="374" t="s">
        <v>3</v>
      </c>
      <c r="H96" s="793" t="str">
        <f>IF(表紙!$H$5=0,"",表紙!$H$5)</f>
        <v/>
      </c>
      <c r="I96" s="794"/>
      <c r="J96" s="794"/>
      <c r="K96" s="795"/>
    </row>
    <row r="97" spans="1:14" s="13" customFormat="1" ht="5.25" customHeight="1">
      <c r="A97" s="64"/>
      <c r="B97" s="65"/>
      <c r="C97" s="379"/>
      <c r="D97" s="379"/>
      <c r="E97" s="379"/>
      <c r="F97" s="379"/>
      <c r="G97" s="379"/>
      <c r="H97" s="379"/>
      <c r="I97" s="379"/>
      <c r="J97" s="379"/>
      <c r="K97" s="66"/>
    </row>
    <row r="98" spans="1:14" s="13" customFormat="1" ht="13.5" customHeight="1">
      <c r="A98" s="64"/>
      <c r="B98" s="81" t="s">
        <v>477</v>
      </c>
      <c r="C98" s="65"/>
      <c r="D98" s="379"/>
      <c r="E98" s="379"/>
      <c r="F98" s="379"/>
      <c r="G98" s="379"/>
      <c r="H98" s="379"/>
      <c r="I98" s="379"/>
      <c r="J98" s="379"/>
      <c r="K98" s="66"/>
    </row>
    <row r="99" spans="1:14" s="13" customFormat="1" ht="26.25" customHeight="1">
      <c r="A99" s="64"/>
      <c r="B99" s="381" t="s">
        <v>478</v>
      </c>
      <c r="C99" s="381"/>
      <c r="D99" s="381"/>
      <c r="E99" s="381"/>
      <c r="F99" s="381"/>
      <c r="G99" s="381"/>
      <c r="H99" s="381"/>
      <c r="I99" s="72"/>
      <c r="J99" s="65"/>
      <c r="K99" s="66"/>
    </row>
    <row r="100" spans="1:14" s="13" customFormat="1" ht="26.25" customHeight="1">
      <c r="A100" s="64"/>
      <c r="B100" s="381" t="s">
        <v>479</v>
      </c>
      <c r="C100" s="381"/>
      <c r="D100" s="381"/>
      <c r="E100" s="381"/>
      <c r="F100" s="381"/>
      <c r="G100" s="381"/>
      <c r="H100" s="381"/>
      <c r="I100" s="72"/>
      <c r="J100" s="72"/>
      <c r="K100" s="66"/>
    </row>
    <row r="101" spans="1:14" s="13" customFormat="1" ht="24.75" customHeight="1">
      <c r="A101" s="64"/>
      <c r="B101" s="65"/>
      <c r="C101" s="796" t="s">
        <v>175</v>
      </c>
      <c r="D101" s="797"/>
      <c r="E101" s="797"/>
      <c r="F101" s="797"/>
      <c r="G101" s="797"/>
      <c r="H101" s="797"/>
      <c r="I101" s="797"/>
      <c r="J101" s="797"/>
      <c r="K101" s="798"/>
    </row>
    <row r="102" spans="1:14" s="13" customFormat="1" ht="6" customHeight="1">
      <c r="A102" s="64"/>
      <c r="B102" s="71"/>
      <c r="C102" s="379"/>
      <c r="D102" s="379"/>
      <c r="E102" s="379"/>
      <c r="F102" s="379"/>
      <c r="G102" s="379"/>
      <c r="H102" s="379"/>
      <c r="I102" s="379"/>
      <c r="J102" s="379"/>
      <c r="K102" s="66"/>
    </row>
    <row r="103" spans="1:14" s="13" customFormat="1" ht="16.5" customHeight="1">
      <c r="A103" s="64"/>
      <c r="B103" s="71"/>
      <c r="C103" s="379"/>
      <c r="D103" s="65"/>
      <c r="E103" s="65"/>
      <c r="F103" s="89" t="s">
        <v>159</v>
      </c>
      <c r="G103" s="332" t="str">
        <f>IF(表紙!K13="(選択してください)","",IF(表紙!K13="ガス","使用しない","使用する"))</f>
        <v/>
      </c>
      <c r="H103" s="65"/>
      <c r="I103" s="379"/>
      <c r="J103" s="379"/>
      <c r="K103" s="66"/>
      <c r="M103" s="13" t="s">
        <v>160</v>
      </c>
      <c r="N103" s="60" t="str">
        <f>IF(G103="使用しない","0.0","1")</f>
        <v>1</v>
      </c>
    </row>
    <row r="104" spans="1:14" s="13" customFormat="1" ht="15" customHeight="1">
      <c r="A104" s="64"/>
      <c r="B104" s="65"/>
      <c r="C104" s="65"/>
      <c r="D104" s="65"/>
      <c r="E104" s="65"/>
      <c r="F104" s="65"/>
      <c r="G104" s="192" t="s">
        <v>27</v>
      </c>
      <c r="H104" s="193" t="s">
        <v>28</v>
      </c>
      <c r="I104" s="65"/>
      <c r="J104" s="65"/>
      <c r="K104" s="66"/>
    </row>
    <row r="105" spans="1:14" s="17" customFormat="1" ht="16.5" customHeight="1">
      <c r="A105" s="64"/>
      <c r="B105" s="147" t="s">
        <v>496</v>
      </c>
      <c r="C105" s="278"/>
      <c r="D105" s="278"/>
      <c r="E105" s="194"/>
      <c r="F105" s="119" t="s">
        <v>274</v>
      </c>
      <c r="G105" s="337"/>
      <c r="H105" s="337"/>
      <c r="I105" s="109" t="s">
        <v>54</v>
      </c>
      <c r="J105" s="757" t="s">
        <v>25</v>
      </c>
      <c r="K105" s="758"/>
      <c r="M105" s="18"/>
    </row>
    <row r="106" spans="1:14" s="17" customFormat="1" ht="16.5" customHeight="1">
      <c r="A106" s="64"/>
      <c r="B106" s="389" t="s">
        <v>482</v>
      </c>
      <c r="C106" s="65"/>
      <c r="D106" s="65"/>
      <c r="E106" s="65"/>
      <c r="F106" s="119" t="s">
        <v>481</v>
      </c>
      <c r="G106" s="329" t="str">
        <f>IF(G80&lt;&gt;0,G80,"")</f>
        <v/>
      </c>
      <c r="H106" s="329" t="str">
        <f>IF(H80&lt;&gt;0,H80,"")</f>
        <v/>
      </c>
      <c r="I106" s="387" t="s">
        <v>17</v>
      </c>
      <c r="J106" s="757" t="s">
        <v>24</v>
      </c>
      <c r="K106" s="792"/>
      <c r="M106" s="18"/>
    </row>
    <row r="107" spans="1:14" s="17" customFormat="1" ht="16.5" customHeight="1">
      <c r="A107" s="64"/>
      <c r="B107" s="764" t="s">
        <v>465</v>
      </c>
      <c r="C107" s="764"/>
      <c r="D107" s="764"/>
      <c r="E107" s="764"/>
      <c r="F107" s="119" t="s">
        <v>275</v>
      </c>
      <c r="G107" s="329" t="str">
        <f>IF(G81&lt;&gt;0,G81,"")</f>
        <v/>
      </c>
      <c r="H107" s="329" t="str">
        <f>IF(H81&lt;&gt;0,H81,"")</f>
        <v/>
      </c>
      <c r="I107" s="387" t="s">
        <v>17</v>
      </c>
      <c r="J107" s="757" t="s">
        <v>24</v>
      </c>
      <c r="K107" s="792"/>
      <c r="M107" s="18"/>
    </row>
    <row r="108" spans="1:14" s="17" customFormat="1" ht="16.5" customHeight="1">
      <c r="A108" s="64"/>
      <c r="B108" s="389" t="s">
        <v>271</v>
      </c>
      <c r="C108" s="65"/>
      <c r="D108" s="65"/>
      <c r="E108" s="65"/>
      <c r="F108" s="119" t="s">
        <v>252</v>
      </c>
      <c r="G108" s="454" t="str">
        <f>IF(G38&lt;&gt;0,G38,"")</f>
        <v/>
      </c>
      <c r="H108" s="454" t="str">
        <f>IF(H38&lt;&gt;0,H38,"")</f>
        <v/>
      </c>
      <c r="I108" s="387" t="s">
        <v>83</v>
      </c>
      <c r="J108" s="757" t="s">
        <v>24</v>
      </c>
      <c r="K108" s="792"/>
    </row>
    <row r="109" spans="1:14" s="17" customFormat="1" ht="16.5" customHeight="1">
      <c r="A109" s="64"/>
      <c r="B109" s="389" t="s">
        <v>272</v>
      </c>
      <c r="C109" s="65"/>
      <c r="D109" s="65"/>
      <c r="E109" s="65"/>
      <c r="F109" s="119" t="s">
        <v>253</v>
      </c>
      <c r="G109" s="455" t="str">
        <f>IF(G39&lt;&gt;0,G39,"")</f>
        <v/>
      </c>
      <c r="H109" s="455" t="str">
        <f>IF(H39&lt;&gt;0,H39,"")</f>
        <v/>
      </c>
      <c r="I109" s="387" t="s">
        <v>83</v>
      </c>
      <c r="J109" s="757" t="s">
        <v>29</v>
      </c>
      <c r="K109" s="792"/>
    </row>
    <row r="110" spans="1:14" s="17" customFormat="1" ht="15.75" customHeight="1">
      <c r="A110" s="64"/>
      <c r="B110" s="389" t="s">
        <v>273</v>
      </c>
      <c r="C110" s="65"/>
      <c r="D110" s="65"/>
      <c r="E110" s="65"/>
      <c r="F110" s="119" t="s">
        <v>266</v>
      </c>
      <c r="G110" s="321">
        <v>4.1900000000000004</v>
      </c>
      <c r="H110" s="321">
        <v>4.1900000000000004</v>
      </c>
      <c r="I110" s="387" t="s">
        <v>88</v>
      </c>
      <c r="J110" s="387"/>
      <c r="K110" s="66"/>
    </row>
    <row r="111" spans="1:14" s="13" customFormat="1" ht="3.75" customHeight="1" thickBot="1">
      <c r="A111" s="64"/>
      <c r="B111" s="65"/>
      <c r="C111" s="125"/>
      <c r="D111" s="74"/>
      <c r="E111" s="74"/>
      <c r="F111" s="185"/>
      <c r="G111" s="272"/>
      <c r="H111" s="109"/>
      <c r="I111" s="387"/>
      <c r="J111" s="387"/>
      <c r="K111" s="66"/>
    </row>
    <row r="112" spans="1:14" s="13" customFormat="1" ht="18.75" customHeight="1" thickBot="1">
      <c r="A112" s="64"/>
      <c r="B112" s="65" t="s">
        <v>495</v>
      </c>
      <c r="C112" s="381"/>
      <c r="D112" s="65"/>
      <c r="E112" s="65"/>
      <c r="F112" s="119" t="s">
        <v>276</v>
      </c>
      <c r="G112" s="330" t="str">
        <f>IF(COUNTBLANK(G105:G110)=0,G105+(G110*((G106-$N$35)*G108+(G107-20)*G109))/3600*$N$103,"")</f>
        <v/>
      </c>
      <c r="H112" s="330" t="str">
        <f>IF(COUNTBLANK(H105:H110)=0,H105+(H110*((H106-$N$35)*H108+(H107-20)*H109))/3600*$N$103,"")</f>
        <v/>
      </c>
      <c r="I112" s="387" t="s">
        <v>54</v>
      </c>
      <c r="J112" s="723" t="s">
        <v>25</v>
      </c>
      <c r="K112" s="724"/>
    </row>
    <row r="113" spans="1:14" s="13" customFormat="1" ht="5.25" customHeight="1" thickBot="1">
      <c r="A113" s="64"/>
      <c r="B113" s="65"/>
      <c r="C113" s="381"/>
      <c r="D113" s="65"/>
      <c r="E113" s="65"/>
      <c r="F113" s="121"/>
      <c r="G113" s="187"/>
      <c r="H113" s="188"/>
      <c r="I113" s="387"/>
      <c r="J113" s="387"/>
      <c r="K113" s="66"/>
    </row>
    <row r="114" spans="1:14" s="13" customFormat="1" ht="19.5" customHeight="1" thickBot="1">
      <c r="A114" s="64"/>
      <c r="B114" s="65"/>
      <c r="C114" s="381"/>
      <c r="D114" s="65"/>
      <c r="E114" s="65"/>
      <c r="F114" s="65"/>
      <c r="G114" s="161" t="s">
        <v>277</v>
      </c>
      <c r="H114" s="352" t="str">
        <f>IF(COUNTBLANK(G112:H112)=0,(G112+H112)/2,"")</f>
        <v/>
      </c>
      <c r="I114" s="387" t="s">
        <v>54</v>
      </c>
      <c r="J114" s="757" t="s">
        <v>25</v>
      </c>
      <c r="K114" s="792"/>
    </row>
    <row r="115" spans="1:14" s="13" customFormat="1" ht="15" customHeight="1">
      <c r="A115" s="80"/>
      <c r="B115" s="68" t="s">
        <v>63</v>
      </c>
      <c r="C115" s="74"/>
      <c r="D115" s="195"/>
      <c r="E115" s="272"/>
      <c r="F115" s="272"/>
      <c r="G115" s="115"/>
      <c r="H115" s="74"/>
      <c r="I115" s="115"/>
      <c r="J115" s="272"/>
      <c r="K115" s="116"/>
    </row>
    <row r="116" spans="1:14" s="13" customFormat="1" ht="15" customHeight="1" thickBot="1">
      <c r="A116" s="80"/>
      <c r="B116" s="81" t="s">
        <v>476</v>
      </c>
      <c r="C116" s="65"/>
      <c r="D116" s="195"/>
      <c r="E116" s="272"/>
      <c r="F116" s="272"/>
      <c r="G116" s="115"/>
      <c r="H116" s="74"/>
      <c r="I116" s="115"/>
      <c r="J116" s="272"/>
      <c r="K116" s="116"/>
    </row>
    <row r="117" spans="1:14" s="13" customFormat="1" ht="23.25" customHeight="1" thickBot="1">
      <c r="A117" s="80"/>
      <c r="B117" s="381" t="s">
        <v>478</v>
      </c>
      <c r="C117" s="381"/>
      <c r="D117" s="72"/>
      <c r="E117" s="65"/>
      <c r="F117" s="272"/>
      <c r="G117" s="115"/>
      <c r="H117" s="74"/>
      <c r="I117" s="115"/>
      <c r="J117" s="272"/>
      <c r="K117" s="116"/>
      <c r="M117" s="237" t="s">
        <v>150</v>
      </c>
      <c r="N117" s="236" t="b">
        <f>IF(表紙!$G$16="選択してください","",IF(表紙!$G$16="A.給湯(標準温度:60℃)を接続し、立上り時の給湯が洗浄タンクに直接入る場合",IF('3.立上り性能A'!N70&lt;&gt;"",'3.立上り性能A'!N70,""),IF(表紙!$G$16="B.給湯(標準温度:60℃)を接続し、立上り時の給湯が仕上げすすぎﾀﾝｸに入る場合",IF('3.立上り性能B'!M67&lt;&gt;"",'3.立上り性能B'!M67,""),IF(表紙!$G$16="C.給水(標準温度:15℃)を接続する場合",IF('3.立上り性能C'!M67&lt;&gt;"",'3.立上り性能C'!M67,"")))))</f>
        <v>0</v>
      </c>
    </row>
    <row r="118" spans="1:14" s="13" customFormat="1" ht="9.6" customHeight="1">
      <c r="A118" s="80"/>
      <c r="B118" s="272"/>
      <c r="C118" s="381"/>
      <c r="D118" s="72"/>
      <c r="E118" s="272"/>
      <c r="F118" s="272"/>
      <c r="G118" s="115"/>
      <c r="H118" s="74"/>
      <c r="I118" s="115"/>
      <c r="J118" s="272"/>
      <c r="K118" s="116"/>
      <c r="M118" s="22"/>
      <c r="N118" s="47"/>
    </row>
    <row r="119" spans="1:14" s="13" customFormat="1" ht="22.5" customHeight="1">
      <c r="A119" s="80"/>
      <c r="B119" s="381" t="s">
        <v>479</v>
      </c>
      <c r="C119" s="381"/>
      <c r="D119" s="72"/>
      <c r="E119" s="272"/>
      <c r="F119" s="272"/>
      <c r="G119" s="115"/>
      <c r="H119" s="74"/>
      <c r="I119" s="115"/>
      <c r="J119" s="272"/>
      <c r="K119" s="116"/>
      <c r="M119" s="22"/>
      <c r="N119" s="47"/>
    </row>
    <row r="120" spans="1:14" s="13" customFormat="1" ht="6" customHeight="1">
      <c r="A120" s="80"/>
      <c r="B120" s="74"/>
      <c r="C120" s="74"/>
      <c r="D120" s="72"/>
      <c r="E120" s="272"/>
      <c r="F120" s="272"/>
      <c r="G120" s="115"/>
      <c r="H120" s="74"/>
      <c r="I120" s="115"/>
      <c r="J120" s="272"/>
      <c r="K120" s="116"/>
    </row>
    <row r="121" spans="1:14" s="13" customFormat="1" ht="16.5" customHeight="1">
      <c r="A121" s="64"/>
      <c r="B121" s="389" t="s">
        <v>278</v>
      </c>
      <c r="C121" s="389"/>
      <c r="D121" s="141"/>
      <c r="E121" s="141"/>
      <c r="F121" s="141"/>
      <c r="G121" s="119" t="s">
        <v>284</v>
      </c>
      <c r="H121" s="338" t="str">
        <f>IF(+'4.処理能力'!H87&lt;&gt;0,+'4.処理能力'!H87,"")</f>
        <v/>
      </c>
      <c r="I121" s="387" t="s">
        <v>54</v>
      </c>
      <c r="J121" s="757" t="s">
        <v>25</v>
      </c>
      <c r="K121" s="792"/>
    </row>
    <row r="122" spans="1:14" s="13" customFormat="1" ht="16.5" customHeight="1">
      <c r="A122" s="64"/>
      <c r="B122" s="389" t="s">
        <v>279</v>
      </c>
      <c r="C122" s="389"/>
      <c r="D122" s="141"/>
      <c r="E122" s="141"/>
      <c r="F122" s="141"/>
      <c r="G122" s="119" t="s">
        <v>285</v>
      </c>
      <c r="H122" s="339" t="str">
        <f>IF(+'4.処理能力'!H52&lt;&gt;0,+'4.処理能力'!H52,"")</f>
        <v/>
      </c>
      <c r="I122" s="387" t="s">
        <v>76</v>
      </c>
      <c r="J122" s="757" t="s">
        <v>48</v>
      </c>
      <c r="K122" s="758"/>
    </row>
    <row r="123" spans="1:14" s="13" customFormat="1" ht="16.5" customHeight="1">
      <c r="A123" s="64"/>
      <c r="B123" s="389" t="s">
        <v>482</v>
      </c>
      <c r="C123" s="389"/>
      <c r="D123" s="379"/>
      <c r="E123" s="379"/>
      <c r="F123" s="379"/>
      <c r="G123" s="119" t="s">
        <v>481</v>
      </c>
      <c r="H123" s="340" t="str">
        <f>IF(+'4.処理能力'!H34&lt;&gt;0,+'4.処理能力'!H34,"")</f>
        <v/>
      </c>
      <c r="I123" s="387" t="s">
        <v>46</v>
      </c>
      <c r="J123" s="757" t="s">
        <v>24</v>
      </c>
      <c r="K123" s="783"/>
    </row>
    <row r="124" spans="1:14" s="13" customFormat="1" ht="16.5" customHeight="1">
      <c r="A124" s="64"/>
      <c r="B124" s="389" t="s">
        <v>460</v>
      </c>
      <c r="C124" s="389"/>
      <c r="D124" s="379"/>
      <c r="E124" s="379"/>
      <c r="F124" s="379"/>
      <c r="G124" s="119" t="s">
        <v>415</v>
      </c>
      <c r="H124" s="340" t="str">
        <f>IF(+'4.処理能力'!H39&lt;&gt;0,+'4.処理能力'!H39,"")</f>
        <v/>
      </c>
      <c r="I124" s="387" t="s">
        <v>46</v>
      </c>
      <c r="J124" s="757" t="s">
        <v>24</v>
      </c>
      <c r="K124" s="783"/>
    </row>
    <row r="125" spans="1:14" s="13" customFormat="1" ht="16.5" customHeight="1">
      <c r="A125" s="64"/>
      <c r="B125" s="389" t="s">
        <v>280</v>
      </c>
      <c r="C125" s="389"/>
      <c r="D125" s="141"/>
      <c r="E125" s="141"/>
      <c r="F125" s="141"/>
      <c r="G125" s="119" t="s">
        <v>286</v>
      </c>
      <c r="H125" s="329" t="str">
        <f>IF(+'6.給水量または給湯量'!H12&lt;&gt;0,+'6.給水量または給湯量'!H12,"")</f>
        <v/>
      </c>
      <c r="I125" s="387" t="s">
        <v>42</v>
      </c>
      <c r="J125" s="757" t="s">
        <v>24</v>
      </c>
      <c r="K125" s="792"/>
    </row>
    <row r="126" spans="1:14" s="13" customFormat="1" ht="16.5" customHeight="1">
      <c r="A126" s="64"/>
      <c r="B126" s="389" t="s">
        <v>281</v>
      </c>
      <c r="C126" s="389"/>
      <c r="D126" s="141"/>
      <c r="E126" s="141"/>
      <c r="F126" s="141"/>
      <c r="G126" s="119" t="s">
        <v>287</v>
      </c>
      <c r="H126" s="339" t="str">
        <f>IF('4.処理能力'!H61&lt;&gt;"",'4.処理能力'!H61,"")</f>
        <v/>
      </c>
      <c r="I126" s="387" t="s">
        <v>56</v>
      </c>
      <c r="J126" s="757" t="s">
        <v>48</v>
      </c>
      <c r="K126" s="792"/>
    </row>
    <row r="127" spans="1:14" s="13" customFormat="1" ht="15.75" customHeight="1">
      <c r="A127" s="86"/>
      <c r="B127" s="389" t="s">
        <v>282</v>
      </c>
      <c r="C127" s="389"/>
      <c r="D127" s="72"/>
      <c r="E127" s="72"/>
      <c r="F127" s="72"/>
      <c r="G127" s="119" t="s">
        <v>288</v>
      </c>
      <c r="H127" s="109">
        <v>4.1900000000000004</v>
      </c>
      <c r="I127" s="387" t="s">
        <v>96</v>
      </c>
      <c r="J127" s="387"/>
      <c r="K127" s="101"/>
    </row>
    <row r="128" spans="1:14" s="13" customFormat="1" ht="3.75" customHeight="1" thickBot="1">
      <c r="A128" s="86"/>
      <c r="B128" s="72"/>
      <c r="C128" s="72"/>
      <c r="D128" s="72"/>
      <c r="E128" s="72"/>
      <c r="F128" s="72"/>
      <c r="G128" s="72"/>
      <c r="H128" s="341"/>
      <c r="I128" s="72"/>
      <c r="J128" s="72"/>
      <c r="K128" s="101"/>
    </row>
    <row r="129" spans="1:14" s="13" customFormat="1" ht="19.5" customHeight="1" thickBot="1">
      <c r="A129" s="196"/>
      <c r="B129" s="65" t="s">
        <v>283</v>
      </c>
      <c r="C129" s="65"/>
      <c r="D129" s="379"/>
      <c r="E129" s="379"/>
      <c r="F129" s="379"/>
      <c r="G129" s="137" t="s">
        <v>289</v>
      </c>
      <c r="H129" s="354" t="str">
        <f>IF(COUNTBLANK(H121:H127)=0,H121*3600/H122*(1+(H123-$N$117)/(H124-H123)),"")</f>
        <v/>
      </c>
      <c r="I129" s="387" t="s">
        <v>11</v>
      </c>
      <c r="J129" s="757" t="s">
        <v>25</v>
      </c>
      <c r="K129" s="792"/>
    </row>
    <row r="130" spans="1:14" s="13" customFormat="1" ht="4.5" customHeight="1">
      <c r="A130" s="80"/>
      <c r="B130" s="74"/>
      <c r="C130" s="74"/>
      <c r="D130" s="195"/>
      <c r="E130" s="272"/>
      <c r="F130" s="272"/>
      <c r="G130" s="115"/>
      <c r="H130" s="74"/>
      <c r="I130" s="115"/>
      <c r="J130" s="272"/>
      <c r="K130" s="116"/>
    </row>
    <row r="131" spans="1:14" s="13" customFormat="1" ht="14.25" customHeight="1">
      <c r="A131" s="80"/>
      <c r="B131" s="81" t="s">
        <v>477</v>
      </c>
      <c r="C131" s="65"/>
      <c r="D131" s="195"/>
      <c r="E131" s="272"/>
      <c r="F131" s="272"/>
      <c r="G131" s="115"/>
      <c r="H131" s="74"/>
      <c r="I131" s="115"/>
      <c r="J131" s="272"/>
      <c r="K131" s="116"/>
    </row>
    <row r="132" spans="1:14" s="13" customFormat="1" ht="28.5" customHeight="1">
      <c r="A132" s="64"/>
      <c r="B132" s="381" t="s">
        <v>478</v>
      </c>
      <c r="C132" s="381"/>
      <c r="D132" s="72"/>
      <c r="E132" s="65"/>
      <c r="F132" s="72"/>
      <c r="G132" s="65"/>
      <c r="H132" s="65"/>
      <c r="I132" s="65"/>
      <c r="J132" s="65"/>
      <c r="K132" s="66"/>
    </row>
    <row r="133" spans="1:14" s="13" customFormat="1" ht="22.9" customHeight="1">
      <c r="A133" s="64"/>
      <c r="B133" s="381" t="s">
        <v>479</v>
      </c>
      <c r="C133" s="381"/>
      <c r="D133" s="72"/>
      <c r="E133" s="272"/>
      <c r="F133" s="72"/>
      <c r="G133" s="65"/>
      <c r="H133" s="65"/>
      <c r="I133" s="65"/>
      <c r="J133" s="65"/>
      <c r="K133" s="66"/>
    </row>
    <row r="134" spans="1:14" s="13" customFormat="1" ht="7.5" customHeight="1">
      <c r="A134" s="64"/>
      <c r="B134" s="65"/>
      <c r="C134" s="381"/>
      <c r="D134" s="72"/>
      <c r="E134" s="272"/>
      <c r="F134" s="72"/>
      <c r="G134" s="65"/>
      <c r="H134" s="65"/>
      <c r="I134" s="65"/>
      <c r="J134" s="65"/>
      <c r="K134" s="66"/>
    </row>
    <row r="135" spans="1:14" s="13" customFormat="1" ht="22.9" customHeight="1">
      <c r="A135" s="64"/>
      <c r="B135" s="65"/>
      <c r="C135" s="796" t="s">
        <v>462</v>
      </c>
      <c r="D135" s="797"/>
      <c r="E135" s="797"/>
      <c r="F135" s="797"/>
      <c r="G135" s="797"/>
      <c r="H135" s="797"/>
      <c r="I135" s="797"/>
      <c r="J135" s="797"/>
      <c r="K135" s="798"/>
    </row>
    <row r="136" spans="1:14" s="13" customFormat="1" ht="3.75" customHeight="1">
      <c r="A136" s="64"/>
      <c r="B136" s="65"/>
      <c r="C136" s="392"/>
      <c r="D136" s="393"/>
      <c r="E136" s="393"/>
      <c r="F136" s="393"/>
      <c r="G136" s="393"/>
      <c r="H136" s="393"/>
      <c r="I136" s="393"/>
      <c r="J136" s="393"/>
      <c r="K136" s="394"/>
    </row>
    <row r="137" spans="1:14" s="13" customFormat="1" ht="18.75" customHeight="1">
      <c r="A137" s="64"/>
      <c r="B137" s="71"/>
      <c r="C137" s="379"/>
      <c r="D137" s="65"/>
      <c r="E137" s="65"/>
      <c r="F137" s="379"/>
      <c r="G137" s="89" t="s">
        <v>159</v>
      </c>
      <c r="H137" s="332" t="str">
        <f>IF(表紙!K13="(選択してください)","",IF(表紙!K13="ガス","使用しない","使用する"))</f>
        <v/>
      </c>
      <c r="I137" s="379"/>
      <c r="J137" s="379"/>
      <c r="K137" s="66"/>
      <c r="M137" s="13" t="s">
        <v>160</v>
      </c>
      <c r="N137" s="60" t="str">
        <f>IF(H137="使用しない","0.0","1")</f>
        <v>1</v>
      </c>
    </row>
    <row r="138" spans="1:14" s="13" customFormat="1" ht="16.5" customHeight="1">
      <c r="A138" s="64"/>
      <c r="B138" s="389" t="s">
        <v>497</v>
      </c>
      <c r="C138" s="389"/>
      <c r="D138" s="141"/>
      <c r="E138" s="72"/>
      <c r="F138" s="141"/>
      <c r="G138" s="119" t="s">
        <v>292</v>
      </c>
      <c r="H138" s="333" t="str">
        <f>'4.処理能力'!H93</f>
        <v/>
      </c>
      <c r="I138" s="387" t="s">
        <v>54</v>
      </c>
      <c r="J138" s="757" t="s">
        <v>25</v>
      </c>
      <c r="K138" s="792"/>
    </row>
    <row r="139" spans="1:14" s="13" customFormat="1" ht="16.5" customHeight="1">
      <c r="A139" s="64"/>
      <c r="B139" s="389" t="s">
        <v>290</v>
      </c>
      <c r="C139" s="389"/>
      <c r="D139" s="141"/>
      <c r="E139" s="141"/>
      <c r="F139" s="141"/>
      <c r="G139" s="119" t="s">
        <v>285</v>
      </c>
      <c r="H139" s="342" t="str">
        <f>IF(+'4.処理能力'!H52&lt;&gt;0,+'4.処理能力'!H52,"")</f>
        <v/>
      </c>
      <c r="I139" s="387" t="s">
        <v>76</v>
      </c>
      <c r="J139" s="757" t="s">
        <v>48</v>
      </c>
      <c r="K139" s="758"/>
    </row>
    <row r="140" spans="1:14" s="13" customFormat="1" ht="16.5" customHeight="1">
      <c r="A140" s="64"/>
      <c r="B140" s="389" t="s">
        <v>482</v>
      </c>
      <c r="C140" s="389"/>
      <c r="D140" s="379"/>
      <c r="E140" s="379"/>
      <c r="F140" s="379"/>
      <c r="G140" s="119" t="s">
        <v>481</v>
      </c>
      <c r="H140" s="334" t="str">
        <f>+'4.処理能力'!H34</f>
        <v/>
      </c>
      <c r="I140" s="387" t="s">
        <v>46</v>
      </c>
      <c r="J140" s="757" t="s">
        <v>24</v>
      </c>
      <c r="K140" s="783"/>
      <c r="M140" s="18"/>
    </row>
    <row r="141" spans="1:14" s="13" customFormat="1" ht="16.5" customHeight="1">
      <c r="A141" s="64"/>
      <c r="B141" s="389" t="s">
        <v>280</v>
      </c>
      <c r="C141" s="389"/>
      <c r="D141" s="141"/>
      <c r="E141" s="141"/>
      <c r="F141" s="141"/>
      <c r="G141" s="119" t="s">
        <v>286</v>
      </c>
      <c r="H141" s="334" t="str">
        <f>+'6.給水量または給湯量'!H12</f>
        <v/>
      </c>
      <c r="I141" s="387" t="s">
        <v>42</v>
      </c>
      <c r="J141" s="757" t="s">
        <v>24</v>
      </c>
      <c r="K141" s="792"/>
    </row>
    <row r="142" spans="1:14" s="13" customFormat="1" ht="16.5" customHeight="1">
      <c r="A142" s="64"/>
      <c r="B142" s="389" t="s">
        <v>281</v>
      </c>
      <c r="C142" s="389"/>
      <c r="D142" s="141"/>
      <c r="E142" s="141"/>
      <c r="F142" s="141"/>
      <c r="G142" s="119" t="s">
        <v>287</v>
      </c>
      <c r="H142" s="342" t="str">
        <f>IF('4.処理能力'!H61&lt;&gt;"",'4.処理能力'!H61,"")</f>
        <v/>
      </c>
      <c r="I142" s="387" t="s">
        <v>56</v>
      </c>
      <c r="J142" s="757" t="s">
        <v>48</v>
      </c>
      <c r="K142" s="792"/>
    </row>
    <row r="143" spans="1:14" ht="16.5" customHeight="1" thickBot="1">
      <c r="A143" s="86"/>
      <c r="B143" s="389" t="s">
        <v>291</v>
      </c>
      <c r="C143" s="389"/>
      <c r="D143" s="72"/>
      <c r="E143" s="72"/>
      <c r="F143" s="72"/>
      <c r="G143" s="119" t="s">
        <v>288</v>
      </c>
      <c r="H143" s="109">
        <v>4.1900000000000004</v>
      </c>
      <c r="I143" s="387" t="s">
        <v>96</v>
      </c>
      <c r="J143" s="387"/>
      <c r="K143" s="101"/>
    </row>
    <row r="144" spans="1:14" s="13" customFormat="1" ht="23.25" customHeight="1" thickBot="1">
      <c r="A144" s="196"/>
      <c r="B144" s="65" t="s">
        <v>498</v>
      </c>
      <c r="C144" s="65"/>
      <c r="D144" s="379"/>
      <c r="E144" s="379"/>
      <c r="F144" s="379"/>
      <c r="G144" s="137" t="s">
        <v>293</v>
      </c>
      <c r="H144" s="353" t="str">
        <f>IF(COUNTBLANK(H138:H143)=0,H138*3600/H139+(H143*H141*H142*(H140-$N$117)/3600)*$N$137,"")</f>
        <v/>
      </c>
      <c r="I144" s="387" t="s">
        <v>11</v>
      </c>
      <c r="J144" s="757" t="s">
        <v>25</v>
      </c>
      <c r="K144" s="792"/>
    </row>
    <row r="145" spans="1:11" s="13" customFormat="1" ht="6.75" customHeight="1" thickBot="1">
      <c r="A145" s="110"/>
      <c r="B145" s="224"/>
      <c r="C145" s="225"/>
      <c r="D145" s="225"/>
      <c r="E145" s="225"/>
      <c r="F145" s="225"/>
      <c r="G145" s="225"/>
      <c r="H145" s="225"/>
      <c r="I145" s="225"/>
      <c r="J145" s="225"/>
      <c r="K145" s="102"/>
    </row>
    <row r="146" spans="1:11" s="13" customFormat="1" ht="16.899999999999999" customHeight="1" thickBot="1">
      <c r="A146" s="233"/>
      <c r="B146" s="245"/>
      <c r="C146" s="244"/>
      <c r="D146" s="244"/>
      <c r="E146" s="244"/>
      <c r="F146" s="244"/>
      <c r="G146" s="244"/>
      <c r="H146" s="244"/>
      <c r="I146" s="244"/>
      <c r="J146" s="244"/>
      <c r="K146" s="233"/>
    </row>
    <row r="147" spans="1:11" s="13" customFormat="1" ht="18.75" customHeight="1" thickBot="1">
      <c r="A147" s="732" t="s">
        <v>171</v>
      </c>
      <c r="B147" s="733"/>
      <c r="C147" s="733"/>
      <c r="D147" s="733"/>
      <c r="E147" s="733"/>
      <c r="F147" s="733"/>
      <c r="G147" s="733"/>
      <c r="H147" s="733"/>
      <c r="I147" s="733"/>
      <c r="J147" s="733"/>
      <c r="K147" s="734"/>
    </row>
    <row r="148" spans="1:11" s="13" customFormat="1" ht="28.5" customHeight="1" thickTop="1">
      <c r="A148" s="14" t="s">
        <v>179</v>
      </c>
      <c r="B148" s="711" t="str">
        <f>+表紙!$B$3&amp;"　　（５．エネルギー消費量）"</f>
        <v>アンダーカウンター洗浄機、ドアタイプ洗浄機（選択してください）　　（５．エネルギー消費量）</v>
      </c>
      <c r="C148" s="712"/>
      <c r="D148" s="712"/>
      <c r="E148" s="712"/>
      <c r="F148" s="712"/>
      <c r="G148" s="712"/>
      <c r="H148" s="745"/>
      <c r="I148" s="712" t="str">
        <f>"ガス種："&amp;表紙!$I$11</f>
        <v>ガス種：(選択して下さい)</v>
      </c>
      <c r="J148" s="712"/>
      <c r="K148" s="779"/>
    </row>
    <row r="149" spans="1:11" s="13" customFormat="1" ht="17.25" customHeight="1" thickBot="1">
      <c r="A149" s="15" t="s">
        <v>378</v>
      </c>
      <c r="B149" s="789" t="str">
        <f>IF(表紙!$B$6=0,"",表紙!$B$6)</f>
        <v/>
      </c>
      <c r="C149" s="789"/>
      <c r="D149" s="790"/>
      <c r="E149" s="790"/>
      <c r="F149" s="791"/>
      <c r="G149" s="374" t="s">
        <v>3</v>
      </c>
      <c r="H149" s="793" t="str">
        <f>IF(表紙!$H$5=0,"",表紙!$H$5)</f>
        <v/>
      </c>
      <c r="I149" s="794"/>
      <c r="J149" s="794"/>
      <c r="K149" s="795"/>
    </row>
    <row r="150" spans="1:11" s="13" customFormat="1" ht="6" customHeight="1">
      <c r="A150" s="64"/>
      <c r="B150" s="71"/>
      <c r="C150" s="379"/>
      <c r="D150" s="379"/>
      <c r="E150" s="379"/>
      <c r="F150" s="379"/>
      <c r="G150" s="379"/>
      <c r="H150" s="379"/>
      <c r="I150" s="379"/>
      <c r="J150" s="379"/>
      <c r="K150" s="66"/>
    </row>
    <row r="151" spans="1:11" s="13" customFormat="1">
      <c r="A151" s="64"/>
      <c r="B151" s="68" t="s">
        <v>15</v>
      </c>
      <c r="C151" s="379"/>
      <c r="D151" s="379"/>
      <c r="E151" s="379"/>
      <c r="F151" s="379"/>
      <c r="G151" s="379"/>
      <c r="H151" s="379"/>
      <c r="I151" s="379"/>
      <c r="J151" s="379"/>
      <c r="K151" s="66"/>
    </row>
    <row r="152" spans="1:11" s="13" customFormat="1" ht="90" customHeight="1">
      <c r="A152" s="64"/>
      <c r="B152" s="68"/>
      <c r="C152" s="717" t="s">
        <v>514</v>
      </c>
      <c r="D152" s="717"/>
      <c r="E152" s="717"/>
      <c r="F152" s="717"/>
      <c r="G152" s="717"/>
      <c r="H152" s="717"/>
      <c r="I152" s="717"/>
      <c r="J152" s="717"/>
      <c r="K152" s="66"/>
    </row>
    <row r="153" spans="1:11" s="13" customFormat="1" ht="18" customHeight="1">
      <c r="A153" s="64"/>
      <c r="B153" s="81" t="s">
        <v>476</v>
      </c>
      <c r="C153" s="379"/>
      <c r="D153" s="72"/>
      <c r="E153" s="379"/>
      <c r="F153" s="379"/>
      <c r="G153" s="379"/>
      <c r="H153" s="379"/>
      <c r="I153" s="379"/>
      <c r="J153" s="379"/>
      <c r="K153" s="66"/>
    </row>
    <row r="154" spans="1:11" s="13" customFormat="1" ht="18" customHeight="1">
      <c r="A154" s="64"/>
      <c r="B154" s="186"/>
      <c r="C154" s="379"/>
      <c r="E154" s="379"/>
      <c r="F154" s="379"/>
      <c r="G154" s="379"/>
      <c r="H154" s="379"/>
      <c r="I154" s="379"/>
      <c r="J154" s="379"/>
      <c r="K154" s="66"/>
    </row>
    <row r="155" spans="1:11" s="13" customFormat="1" ht="12.75" customHeight="1">
      <c r="A155" s="64"/>
      <c r="B155" s="186"/>
      <c r="C155" s="379"/>
      <c r="D155" s="379"/>
      <c r="E155" s="379"/>
      <c r="F155" s="379"/>
      <c r="G155" s="379"/>
      <c r="H155" s="379"/>
      <c r="I155" s="379"/>
      <c r="J155" s="379"/>
      <c r="K155" s="66"/>
    </row>
    <row r="156" spans="1:11" s="13" customFormat="1" ht="6.75" customHeight="1">
      <c r="A156" s="86"/>
      <c r="B156" s="764"/>
      <c r="C156" s="764"/>
      <c r="D156" s="764"/>
      <c r="E156" s="764"/>
      <c r="F156" s="74"/>
      <c r="G156" s="132"/>
      <c r="H156" s="132"/>
      <c r="I156" s="387"/>
      <c r="J156" s="387"/>
      <c r="K156" s="388"/>
    </row>
    <row r="157" spans="1:11" s="13" customFormat="1" ht="17.25" customHeight="1">
      <c r="A157" s="64"/>
      <c r="B157" s="65" t="s">
        <v>441</v>
      </c>
      <c r="C157" s="65"/>
      <c r="D157" s="72"/>
      <c r="E157" s="72"/>
      <c r="F157" s="410"/>
      <c r="G157" s="410"/>
      <c r="H157" s="410"/>
      <c r="I157" s="410"/>
      <c r="J157" s="410"/>
      <c r="K157" s="66"/>
    </row>
    <row r="158" spans="1:11" s="13" customFormat="1" ht="17.25" customHeight="1">
      <c r="A158" s="64"/>
      <c r="B158" s="401"/>
      <c r="C158" s="72"/>
      <c r="D158" s="401"/>
      <c r="E158" s="401"/>
      <c r="F158" s="401"/>
      <c r="G158" s="401"/>
      <c r="H158" s="401"/>
      <c r="I158" s="401"/>
      <c r="J158" s="401"/>
      <c r="K158" s="66"/>
    </row>
    <row r="159" spans="1:11" s="13" customFormat="1" ht="17.25" customHeight="1">
      <c r="A159" s="64"/>
      <c r="B159" s="401"/>
      <c r="C159" s="401"/>
      <c r="D159" s="401"/>
      <c r="E159" s="401"/>
      <c r="F159" s="401"/>
      <c r="G159" s="74"/>
      <c r="H159" s="138"/>
      <c r="I159" s="401"/>
      <c r="J159" s="401"/>
      <c r="K159" s="66"/>
    </row>
    <row r="160" spans="1:11" s="13" customFormat="1" ht="17.25" customHeight="1">
      <c r="A160" s="64"/>
      <c r="B160" s="401"/>
      <c r="C160" s="401"/>
      <c r="D160" s="401"/>
      <c r="E160" s="401"/>
      <c r="F160" s="401"/>
      <c r="G160" s="74" t="s">
        <v>27</v>
      </c>
      <c r="H160" s="138" t="s">
        <v>28</v>
      </c>
      <c r="I160" s="401"/>
      <c r="J160" s="401"/>
      <c r="K160" s="66"/>
    </row>
    <row r="161" spans="1:11" s="13" customFormat="1" ht="17.25" customHeight="1">
      <c r="A161" s="64"/>
      <c r="B161" s="456" t="s">
        <v>421</v>
      </c>
      <c r="C161" s="76"/>
      <c r="D161" s="76"/>
      <c r="E161" s="457"/>
      <c r="F161" s="63" t="s">
        <v>428</v>
      </c>
      <c r="G161" s="308"/>
      <c r="H161" s="308"/>
      <c r="I161" s="401" t="s">
        <v>152</v>
      </c>
      <c r="J161" s="723" t="s">
        <v>29</v>
      </c>
      <c r="K161" s="724"/>
    </row>
    <row r="162" spans="1:11" s="13" customFormat="1" ht="17.25" customHeight="1">
      <c r="A162" s="64"/>
      <c r="B162" s="441" t="s">
        <v>422</v>
      </c>
      <c r="C162" s="76"/>
      <c r="D162" s="76"/>
      <c r="E162" s="375"/>
      <c r="F162" s="63" t="s">
        <v>196</v>
      </c>
      <c r="G162" s="309"/>
      <c r="H162" s="309"/>
      <c r="I162" s="417" t="s">
        <v>434</v>
      </c>
      <c r="J162" s="723" t="s">
        <v>25</v>
      </c>
      <c r="K162" s="724"/>
    </row>
    <row r="163" spans="1:11" s="13" customFormat="1" ht="17.25" customHeight="1">
      <c r="A163" s="64"/>
      <c r="B163" s="441" t="s">
        <v>423</v>
      </c>
      <c r="C163" s="76"/>
      <c r="D163" s="76"/>
      <c r="E163" s="76"/>
      <c r="F163" s="63" t="s">
        <v>429</v>
      </c>
      <c r="G163" s="310"/>
      <c r="H163" s="310"/>
      <c r="I163" s="426" t="s">
        <v>507</v>
      </c>
      <c r="J163" s="387" t="s">
        <v>48</v>
      </c>
      <c r="K163" s="66"/>
    </row>
    <row r="164" spans="1:11" s="13" customFormat="1" ht="17.25" customHeight="1">
      <c r="A164" s="64"/>
      <c r="B164" s="441" t="s">
        <v>424</v>
      </c>
      <c r="C164" s="441"/>
      <c r="D164" s="441"/>
      <c r="E164" s="441"/>
      <c r="F164" s="63" t="s">
        <v>430</v>
      </c>
      <c r="G164" s="311"/>
      <c r="H164" s="311"/>
      <c r="I164" s="417" t="s">
        <v>137</v>
      </c>
      <c r="J164" s="723" t="s">
        <v>24</v>
      </c>
      <c r="K164" s="724"/>
    </row>
    <row r="165" spans="1:11" s="13" customFormat="1" ht="17.25" customHeight="1">
      <c r="A165" s="64"/>
      <c r="B165" s="441" t="s">
        <v>425</v>
      </c>
      <c r="C165" s="441"/>
      <c r="D165" s="441"/>
      <c r="E165" s="76"/>
      <c r="F165" s="63" t="s">
        <v>431</v>
      </c>
      <c r="G165" s="312"/>
      <c r="H165" s="312"/>
      <c r="I165" s="417" t="s">
        <v>138</v>
      </c>
      <c r="J165" s="723" t="s">
        <v>29</v>
      </c>
      <c r="K165" s="724"/>
    </row>
    <row r="166" spans="1:11" s="13" customFormat="1" ht="17.25" customHeight="1">
      <c r="A166" s="64"/>
      <c r="B166" s="442" t="s">
        <v>426</v>
      </c>
      <c r="C166" s="442"/>
      <c r="D166" s="442"/>
      <c r="E166" s="442"/>
      <c r="F166" s="63" t="s">
        <v>432</v>
      </c>
      <c r="G166" s="312"/>
      <c r="H166" s="312"/>
      <c r="I166" s="417" t="s">
        <v>138</v>
      </c>
      <c r="J166" s="723" t="s">
        <v>29</v>
      </c>
      <c r="K166" s="724"/>
    </row>
    <row r="167" spans="1:11" s="13" customFormat="1" ht="17.25" customHeight="1">
      <c r="A167" s="64"/>
      <c r="B167" s="442" t="s">
        <v>427</v>
      </c>
      <c r="C167" s="442"/>
      <c r="D167" s="442"/>
      <c r="E167" s="442"/>
      <c r="F167" s="63" t="s">
        <v>433</v>
      </c>
      <c r="G167" s="427" t="str">
        <f>IF(COUNTBLANK(G161:G166)=0,IF(G169="乾　式","0.00",10^(7.203-1735.74/(G164+234))),"")</f>
        <v/>
      </c>
      <c r="H167" s="427" t="str">
        <f>IF(COUNTBLANK(H161:H166)=0,IF(G169="乾　式","0.00",10^(7.203-1735.74/(H164+234))),"")</f>
        <v/>
      </c>
      <c r="I167" s="417" t="s">
        <v>138</v>
      </c>
      <c r="J167" s="723" t="s">
        <v>29</v>
      </c>
      <c r="K167" s="724"/>
    </row>
    <row r="168" spans="1:11" s="13" customFormat="1" ht="6" customHeight="1">
      <c r="A168" s="64"/>
      <c r="B168" s="414"/>
      <c r="C168" s="414"/>
      <c r="D168" s="414"/>
      <c r="E168" s="418"/>
      <c r="F168" s="415"/>
      <c r="G168" s="449"/>
      <c r="H168" s="428"/>
      <c r="I168" s="417"/>
      <c r="J168" s="377"/>
      <c r="K168" s="378"/>
    </row>
    <row r="169" spans="1:11" s="13" customFormat="1" ht="17.25" customHeight="1">
      <c r="A169" s="64"/>
      <c r="B169" s="389" t="s">
        <v>472</v>
      </c>
      <c r="C169" s="65"/>
      <c r="D169" s="799"/>
      <c r="E169" s="800"/>
      <c r="F169" s="800"/>
      <c r="G169" s="468" t="s">
        <v>516</v>
      </c>
      <c r="H169" s="439"/>
      <c r="I169" s="417"/>
      <c r="J169" s="401"/>
      <c r="K169" s="66"/>
    </row>
    <row r="170" spans="1:11" s="13" customFormat="1" ht="17.25" customHeight="1">
      <c r="A170" s="64"/>
      <c r="B170" s="65"/>
      <c r="C170" s="381" t="s">
        <v>473</v>
      </c>
      <c r="D170" s="381"/>
      <c r="E170" s="418"/>
      <c r="F170" s="418"/>
      <c r="G170" s="418"/>
      <c r="H170" s="401"/>
      <c r="I170" s="401"/>
      <c r="J170" s="440"/>
      <c r="K170" s="73"/>
    </row>
    <row r="171" spans="1:11" s="13" customFormat="1" ht="17.25" customHeight="1">
      <c r="A171" s="64"/>
      <c r="B171" s="65"/>
      <c r="C171" s="381" t="s">
        <v>474</v>
      </c>
      <c r="D171" s="381"/>
      <c r="E171" s="418"/>
      <c r="F171" s="418"/>
      <c r="G171" s="418"/>
      <c r="H171" s="418"/>
      <c r="I171" s="418"/>
      <c r="J171" s="401"/>
      <c r="K171" s="66"/>
    </row>
    <row r="172" spans="1:11" s="13" customFormat="1" ht="17.25" customHeight="1">
      <c r="A172" s="64"/>
      <c r="B172" s="729"/>
      <c r="C172" s="730"/>
      <c r="D172" s="730"/>
      <c r="E172" s="730"/>
      <c r="F172" s="730"/>
      <c r="G172" s="730"/>
      <c r="H172" s="74"/>
      <c r="I172" s="65"/>
      <c r="J172" s="65"/>
      <c r="K172" s="101"/>
    </row>
    <row r="173" spans="1:11" s="13" customFormat="1" ht="21" customHeight="1">
      <c r="A173" s="64"/>
      <c r="B173" s="381"/>
      <c r="C173" s="76"/>
      <c r="D173" s="76"/>
      <c r="E173" s="76"/>
      <c r="F173" s="76"/>
      <c r="G173" s="76"/>
      <c r="H173" s="74"/>
      <c r="I173" s="65"/>
      <c r="J173" s="65"/>
      <c r="K173" s="101"/>
    </row>
    <row r="174" spans="1:11" s="13" customFormat="1">
      <c r="A174" s="64"/>
      <c r="B174" s="381"/>
      <c r="C174" s="76"/>
      <c r="D174" s="76"/>
      <c r="E174" s="76"/>
      <c r="F174" s="76"/>
      <c r="G174" s="74" t="s">
        <v>27</v>
      </c>
      <c r="H174" s="138" t="s">
        <v>28</v>
      </c>
      <c r="I174" s="65"/>
      <c r="J174" s="65"/>
      <c r="K174" s="101"/>
    </row>
    <row r="175" spans="1:11" s="13" customFormat="1" ht="18" customHeight="1">
      <c r="A175" s="64"/>
      <c r="B175" s="147" t="s">
        <v>416</v>
      </c>
      <c r="C175" s="278"/>
      <c r="D175" s="278"/>
      <c r="E175" s="418"/>
      <c r="F175" s="140" t="s">
        <v>418</v>
      </c>
      <c r="G175" s="343" t="str">
        <f>IF(COUNTBLANK(G162:G166)=0,(G162*G163*(G165+G166-G167)*273/3600/101.3/(273+G164)),"")</f>
        <v/>
      </c>
      <c r="H175" s="343" t="str">
        <f>IF(COUNTBLANK(H162:H166)=0,(H162*H163*(H165+H166-H167)*273/3600/101.3/(273+H164)),"")</f>
        <v/>
      </c>
      <c r="I175" s="387" t="s">
        <v>157</v>
      </c>
      <c r="J175" s="723" t="s">
        <v>25</v>
      </c>
      <c r="K175" s="724"/>
    </row>
    <row r="176" spans="1:11" s="13" customFormat="1" ht="9.75" customHeight="1" thickBot="1">
      <c r="A176" s="64"/>
      <c r="B176" s="381"/>
      <c r="C176" s="381"/>
      <c r="D176" s="381"/>
      <c r="E176" s="379"/>
      <c r="F176" s="197"/>
      <c r="G176" s="379"/>
      <c r="H176" s="379"/>
      <c r="I176" s="379"/>
      <c r="J176" s="379"/>
      <c r="K176" s="66"/>
    </row>
    <row r="177" spans="1:11" s="13" customFormat="1" ht="18.75" customHeight="1" thickBot="1">
      <c r="A177" s="64"/>
      <c r="B177" s="381" t="s">
        <v>417</v>
      </c>
      <c r="C177" s="381"/>
      <c r="D177" s="381"/>
      <c r="E177" s="65"/>
      <c r="F177" s="119" t="s">
        <v>419</v>
      </c>
      <c r="G177" s="335" t="str">
        <f>IF(COUNTBLANK(G161)=0,G175*60/G161,"")</f>
        <v/>
      </c>
      <c r="H177" s="335" t="str">
        <f>IF(COUNTBLANK(H161)=0,H175*60/H161,"")</f>
        <v/>
      </c>
      <c r="I177" s="387" t="s">
        <v>72</v>
      </c>
      <c r="J177" s="757" t="s">
        <v>25</v>
      </c>
      <c r="K177" s="758"/>
    </row>
    <row r="178" spans="1:11" s="13" customFormat="1" ht="7.5" customHeight="1" thickBot="1">
      <c r="A178" s="64"/>
      <c r="B178" s="65"/>
      <c r="C178" s="381"/>
      <c r="D178" s="65"/>
      <c r="E178" s="65"/>
      <c r="F178" s="121"/>
      <c r="G178" s="187"/>
      <c r="H178" s="198"/>
      <c r="I178" s="387"/>
      <c r="J178" s="129"/>
      <c r="K178" s="199"/>
    </row>
    <row r="179" spans="1:11" s="13" customFormat="1" ht="22.5" customHeight="1" thickBot="1">
      <c r="A179" s="64"/>
      <c r="B179" s="65"/>
      <c r="C179" s="381"/>
      <c r="D179" s="65"/>
      <c r="E179" s="65"/>
      <c r="F179" s="200"/>
      <c r="G179" s="161" t="s">
        <v>420</v>
      </c>
      <c r="H179" s="355" t="str">
        <f>IF(COUNTBLANK(G177:H177)=0,(G177+H177)/2,"")</f>
        <v/>
      </c>
      <c r="I179" s="387" t="s">
        <v>72</v>
      </c>
      <c r="J179" s="757" t="s">
        <v>25</v>
      </c>
      <c r="K179" s="758"/>
    </row>
    <row r="180" spans="1:11" s="13" customFormat="1" ht="7.5" customHeight="1" thickBot="1">
      <c r="A180" s="64"/>
      <c r="B180" s="65"/>
      <c r="C180" s="381"/>
      <c r="D180" s="65"/>
      <c r="E180" s="65"/>
      <c r="F180" s="65"/>
      <c r="G180" s="121"/>
      <c r="H180" s="189"/>
      <c r="I180" s="387"/>
      <c r="J180" s="129"/>
      <c r="K180" s="199"/>
    </row>
    <row r="181" spans="1:11" s="13" customFormat="1" ht="18" customHeight="1" thickBot="1">
      <c r="A181" s="64"/>
      <c r="B181" s="65"/>
      <c r="C181" s="124"/>
      <c r="D181" s="124"/>
      <c r="E181" s="124"/>
      <c r="F181" s="89"/>
      <c r="G181" s="89" t="s">
        <v>33</v>
      </c>
      <c r="H181" s="331" t="str">
        <f>IF(H179&lt;&gt;"",ABS(G177-H177)/H179,"")</f>
        <v/>
      </c>
      <c r="I181" s="393" t="s">
        <v>506</v>
      </c>
      <c r="J181" s="387"/>
      <c r="K181" s="388"/>
    </row>
    <row r="182" spans="1:11" s="13" customFormat="1" ht="22.5" customHeight="1">
      <c r="A182" s="64"/>
      <c r="B182" s="81" t="s">
        <v>477</v>
      </c>
      <c r="C182" s="379"/>
      <c r="D182" s="379"/>
      <c r="E182" s="379"/>
      <c r="F182" s="379"/>
      <c r="G182" s="379"/>
      <c r="H182" s="379"/>
      <c r="I182" s="379"/>
      <c r="J182" s="379"/>
      <c r="K182" s="66"/>
    </row>
    <row r="183" spans="1:11" s="13" customFormat="1" ht="22.5" customHeight="1">
      <c r="A183" s="64"/>
      <c r="B183" s="81"/>
      <c r="C183" s="379"/>
      <c r="D183" s="379"/>
      <c r="E183" s="379"/>
      <c r="F183" s="379"/>
      <c r="G183" s="379"/>
      <c r="H183" s="379"/>
      <c r="I183" s="379"/>
      <c r="J183" s="379"/>
      <c r="K183" s="66"/>
    </row>
    <row r="184" spans="1:11" s="13" customFormat="1" ht="13.5" customHeight="1">
      <c r="A184" s="64"/>
      <c r="B184" s="379"/>
      <c r="C184" s="65"/>
      <c r="D184" s="201"/>
      <c r="E184" s="201"/>
      <c r="F184" s="201"/>
      <c r="G184" s="202"/>
      <c r="H184" s="202"/>
      <c r="I184" s="201"/>
      <c r="J184" s="201"/>
      <c r="K184" s="66"/>
    </row>
    <row r="185" spans="1:11" s="13" customFormat="1" ht="13.5" customHeight="1">
      <c r="A185" s="64"/>
      <c r="B185" s="379"/>
      <c r="C185" s="65"/>
      <c r="D185" s="201"/>
      <c r="E185" s="201"/>
      <c r="F185" s="201"/>
      <c r="G185" s="74" t="s">
        <v>27</v>
      </c>
      <c r="H185" s="138" t="s">
        <v>28</v>
      </c>
      <c r="I185" s="201"/>
      <c r="J185" s="201"/>
      <c r="K185" s="66"/>
    </row>
    <row r="186" spans="1:11" s="13" customFormat="1" ht="17.25" customHeight="1">
      <c r="A186" s="64"/>
      <c r="B186" s="381" t="s">
        <v>499</v>
      </c>
      <c r="C186" s="381"/>
      <c r="D186" s="201"/>
      <c r="E186" s="201"/>
      <c r="F186" s="119" t="s">
        <v>295</v>
      </c>
      <c r="G186" s="337"/>
      <c r="H186" s="337"/>
      <c r="I186" s="385" t="s">
        <v>71</v>
      </c>
      <c r="J186" s="757" t="s">
        <v>25</v>
      </c>
      <c r="K186" s="783"/>
    </row>
    <row r="187" spans="1:11" s="13" customFormat="1" ht="17.25" customHeight="1">
      <c r="A187" s="64"/>
      <c r="B187" s="381" t="s">
        <v>294</v>
      </c>
      <c r="C187" s="381"/>
      <c r="D187" s="201"/>
      <c r="E187" s="201"/>
      <c r="F187" s="119" t="s">
        <v>296</v>
      </c>
      <c r="G187" s="458" t="str">
        <f>+IF(G161&lt;&gt;0,G161,"")</f>
        <v/>
      </c>
      <c r="H187" s="458" t="str">
        <f>+IF(H161&lt;&gt;0,H161,"")</f>
        <v/>
      </c>
      <c r="I187" s="385" t="s">
        <v>53</v>
      </c>
      <c r="J187" s="757" t="s">
        <v>29</v>
      </c>
      <c r="K187" s="758"/>
    </row>
    <row r="188" spans="1:11" s="13" customFormat="1" ht="7.5" customHeight="1" thickBot="1">
      <c r="A188" s="64"/>
      <c r="B188" s="381"/>
      <c r="C188" s="381"/>
      <c r="D188" s="201"/>
      <c r="E188" s="201"/>
      <c r="F188" s="121"/>
      <c r="G188" s="30"/>
      <c r="H188" s="30"/>
      <c r="I188" s="385"/>
      <c r="J188" s="387"/>
      <c r="K188" s="388"/>
    </row>
    <row r="189" spans="1:11" s="13" customFormat="1" ht="19.5" customHeight="1" thickBot="1">
      <c r="A189" s="64"/>
      <c r="B189" s="381" t="s">
        <v>500</v>
      </c>
      <c r="C189" s="381"/>
      <c r="D189" s="65"/>
      <c r="E189" s="65"/>
      <c r="F189" s="119" t="s">
        <v>297</v>
      </c>
      <c r="G189" s="330" t="str">
        <f>IF(COUNTBLANK(G186:G187)=0,G186*60/G187,"")</f>
        <v/>
      </c>
      <c r="H189" s="330" t="str">
        <f>IF(COUNTBLANK(H186:H187)=0,H186*60/H187,"")</f>
        <v/>
      </c>
      <c r="I189" s="387" t="s">
        <v>72</v>
      </c>
      <c r="J189" s="757" t="s">
        <v>25</v>
      </c>
      <c r="K189" s="758"/>
    </row>
    <row r="190" spans="1:11" s="13" customFormat="1" ht="7.5" customHeight="1" thickBot="1">
      <c r="A190" s="64"/>
      <c r="B190" s="65"/>
      <c r="C190" s="381"/>
      <c r="D190" s="65"/>
      <c r="E190" s="65"/>
      <c r="F190" s="121"/>
      <c r="G190" s="187"/>
      <c r="H190" s="31"/>
      <c r="I190" s="387"/>
      <c r="J190" s="129"/>
      <c r="K190" s="199"/>
    </row>
    <row r="191" spans="1:11" s="13" customFormat="1" ht="22.5" customHeight="1" thickBot="1">
      <c r="A191" s="64"/>
      <c r="B191" s="65"/>
      <c r="C191" s="381"/>
      <c r="D191" s="65"/>
      <c r="E191" s="65"/>
      <c r="F191" s="65"/>
      <c r="G191" s="161" t="s">
        <v>298</v>
      </c>
      <c r="H191" s="352" t="str">
        <f>IF(COUNTBLANK(G189:H189)=0,(G189+H189)/2,"")</f>
        <v/>
      </c>
      <c r="I191" s="387" t="s">
        <v>72</v>
      </c>
      <c r="J191" s="757" t="s">
        <v>25</v>
      </c>
      <c r="K191" s="758"/>
    </row>
    <row r="192" spans="1:11" s="13" customFormat="1" ht="7.5" customHeight="1" thickBot="1">
      <c r="A192" s="64"/>
      <c r="B192" s="65"/>
      <c r="C192" s="381"/>
      <c r="D192" s="65"/>
      <c r="E192" s="65"/>
      <c r="F192" s="65"/>
      <c r="G192" s="121"/>
      <c r="H192" s="27"/>
      <c r="I192" s="387"/>
      <c r="J192" s="129"/>
      <c r="K192" s="199"/>
    </row>
    <row r="193" spans="1:11" s="13" customFormat="1" ht="18" customHeight="1" thickBot="1">
      <c r="A193" s="64"/>
      <c r="B193" s="65"/>
      <c r="C193" s="124"/>
      <c r="D193" s="124"/>
      <c r="E193" s="124"/>
      <c r="F193" s="89"/>
      <c r="G193" s="89" t="s">
        <v>33</v>
      </c>
      <c r="H193" s="344" t="str">
        <f>IF(H191&lt;&gt;"",ABS(G189-H189)/H191,"")</f>
        <v/>
      </c>
      <c r="I193" s="393" t="s">
        <v>506</v>
      </c>
      <c r="J193" s="387"/>
      <c r="K193" s="388"/>
    </row>
    <row r="194" spans="1:11" s="13" customFormat="1" ht="9.75" customHeight="1" thickBot="1">
      <c r="A194" s="110"/>
      <c r="B194" s="96"/>
      <c r="C194" s="226"/>
      <c r="D194" s="226"/>
      <c r="E194" s="226"/>
      <c r="F194" s="227"/>
      <c r="G194" s="227"/>
      <c r="H194" s="228"/>
      <c r="I194" s="220"/>
      <c r="J194" s="220"/>
      <c r="K194" s="229"/>
    </row>
    <row r="195" spans="1:11" s="13" customFormat="1" ht="19.899999999999999" customHeight="1" thickBot="1">
      <c r="A195" s="233"/>
      <c r="B195" s="233"/>
      <c r="C195" s="246"/>
      <c r="D195" s="246"/>
      <c r="E195" s="246"/>
      <c r="F195" s="247"/>
      <c r="G195" s="247"/>
      <c r="H195" s="248"/>
      <c r="I195" s="242"/>
      <c r="J195" s="242"/>
      <c r="K195" s="249"/>
    </row>
    <row r="196" spans="1:11" s="13" customFormat="1" ht="18.75" customHeight="1" thickBot="1">
      <c r="A196" s="732" t="s">
        <v>171</v>
      </c>
      <c r="B196" s="733"/>
      <c r="C196" s="733"/>
      <c r="D196" s="733"/>
      <c r="E196" s="733"/>
      <c r="F196" s="733"/>
      <c r="G196" s="733"/>
      <c r="H196" s="733"/>
      <c r="I196" s="733"/>
      <c r="J196" s="733"/>
      <c r="K196" s="734"/>
    </row>
    <row r="197" spans="1:11" s="13" customFormat="1" ht="28.5" customHeight="1" thickTop="1">
      <c r="A197" s="14" t="s">
        <v>179</v>
      </c>
      <c r="B197" s="711" t="str">
        <f>+表紙!$B$3&amp;"　　（５．エネルギー消費量）"</f>
        <v>アンダーカウンター洗浄機、ドアタイプ洗浄機（選択してください）　　（５．エネルギー消費量）</v>
      </c>
      <c r="C197" s="712"/>
      <c r="D197" s="712"/>
      <c r="E197" s="712"/>
      <c r="F197" s="712"/>
      <c r="G197" s="712"/>
      <c r="H197" s="745"/>
      <c r="I197" s="712" t="str">
        <f>"ガス種："&amp;表紙!$I$11</f>
        <v>ガス種：(選択して下さい)</v>
      </c>
      <c r="J197" s="712"/>
      <c r="K197" s="779"/>
    </row>
    <row r="198" spans="1:11" s="13" customFormat="1" ht="17.25" customHeight="1" thickBot="1">
      <c r="A198" s="15" t="s">
        <v>378</v>
      </c>
      <c r="B198" s="789" t="str">
        <f>IF(表紙!$B$6=0,"",表紙!$B$6)</f>
        <v/>
      </c>
      <c r="C198" s="789"/>
      <c r="D198" s="790"/>
      <c r="E198" s="790"/>
      <c r="F198" s="791"/>
      <c r="G198" s="374" t="s">
        <v>3</v>
      </c>
      <c r="H198" s="793" t="str">
        <f>IF(表紙!$H$5=0,"",表紙!$H$5)</f>
        <v/>
      </c>
      <c r="I198" s="794"/>
      <c r="J198" s="794"/>
      <c r="K198" s="795"/>
    </row>
    <row r="199" spans="1:11" s="13" customFormat="1" ht="15" customHeight="1">
      <c r="A199" s="80"/>
      <c r="B199" s="74"/>
      <c r="C199" s="74"/>
      <c r="D199" s="195"/>
      <c r="E199" s="114"/>
      <c r="F199" s="114"/>
      <c r="G199" s="115"/>
      <c r="H199" s="74"/>
      <c r="I199" s="115"/>
      <c r="J199" s="272"/>
      <c r="K199" s="116"/>
    </row>
    <row r="200" spans="1:11" s="13" customFormat="1" ht="22.5" customHeight="1">
      <c r="A200" s="64"/>
      <c r="B200" s="68" t="s">
        <v>515</v>
      </c>
      <c r="C200" s="124"/>
      <c r="D200" s="124"/>
      <c r="E200" s="124"/>
      <c r="F200" s="89"/>
      <c r="G200" s="89"/>
      <c r="H200" s="144"/>
      <c r="I200" s="387"/>
      <c r="J200" s="387"/>
      <c r="K200" s="388"/>
    </row>
    <row r="201" spans="1:11" s="13" customFormat="1" ht="15.75" customHeight="1">
      <c r="A201" s="64"/>
      <c r="B201" s="81" t="s">
        <v>476</v>
      </c>
      <c r="C201" s="124"/>
      <c r="D201" s="124"/>
      <c r="E201" s="124"/>
      <c r="F201" s="89"/>
      <c r="G201" s="89"/>
      <c r="H201" s="144"/>
      <c r="I201" s="387"/>
      <c r="J201" s="387"/>
      <c r="K201" s="388"/>
    </row>
    <row r="202" spans="1:11" s="13" customFormat="1" ht="20.25" customHeight="1">
      <c r="A202" s="64"/>
      <c r="B202" s="65" t="s">
        <v>153</v>
      </c>
      <c r="C202" s="65"/>
      <c r="D202" s="65"/>
      <c r="E202" s="65"/>
      <c r="F202" s="65"/>
      <c r="G202" s="65"/>
      <c r="H202" s="72"/>
      <c r="I202" s="72"/>
      <c r="J202" s="65"/>
      <c r="K202" s="66"/>
    </row>
    <row r="203" spans="1:11" s="13" customFormat="1" ht="18.75" customHeight="1">
      <c r="A203" s="64"/>
      <c r="B203" s="65"/>
      <c r="C203" s="65"/>
      <c r="D203" s="65"/>
      <c r="E203" s="65"/>
      <c r="F203" s="65"/>
      <c r="G203" s="65"/>
      <c r="H203" s="65"/>
      <c r="I203" s="65"/>
      <c r="J203" s="65"/>
      <c r="K203" s="66"/>
    </row>
    <row r="204" spans="1:11" s="13" customFormat="1" ht="18.75" customHeight="1">
      <c r="A204" s="64"/>
      <c r="B204" s="65"/>
      <c r="C204" s="65"/>
      <c r="D204" s="65"/>
      <c r="E204" s="65"/>
      <c r="F204" s="65"/>
      <c r="G204" s="65"/>
      <c r="H204" s="65"/>
      <c r="I204" s="65"/>
      <c r="J204" s="65"/>
      <c r="K204" s="66"/>
    </row>
    <row r="205" spans="1:11" s="13" customFormat="1" ht="10.5" customHeight="1">
      <c r="A205" s="64"/>
      <c r="B205" s="65"/>
      <c r="C205" s="65"/>
      <c r="D205" s="65"/>
      <c r="E205" s="65"/>
      <c r="F205" s="65"/>
      <c r="G205" s="65"/>
      <c r="H205" s="65"/>
      <c r="I205" s="65"/>
      <c r="J205" s="65"/>
      <c r="K205" s="66"/>
    </row>
    <row r="206" spans="1:11" s="13" customFormat="1" ht="18" customHeight="1">
      <c r="A206" s="64"/>
      <c r="B206" s="65"/>
      <c r="C206" s="381" t="s">
        <v>299</v>
      </c>
      <c r="D206" s="65"/>
      <c r="E206" s="65"/>
      <c r="F206" s="65"/>
      <c r="G206" s="119" t="s">
        <v>306</v>
      </c>
      <c r="H206" s="333" t="str">
        <f>H24</f>
        <v/>
      </c>
      <c r="I206" s="385" t="s">
        <v>54</v>
      </c>
      <c r="J206" s="757" t="s">
        <v>25</v>
      </c>
      <c r="K206" s="758"/>
    </row>
    <row r="207" spans="1:11" s="13" customFormat="1" ht="18" customHeight="1">
      <c r="A207" s="64"/>
      <c r="B207" s="65"/>
      <c r="C207" s="381" t="s">
        <v>300</v>
      </c>
      <c r="D207" s="65"/>
      <c r="E207" s="65"/>
      <c r="F207" s="65"/>
      <c r="G207" s="119" t="s">
        <v>269</v>
      </c>
      <c r="H207" s="333" t="str">
        <f>H90</f>
        <v/>
      </c>
      <c r="I207" s="385" t="s">
        <v>54</v>
      </c>
      <c r="J207" s="757" t="s">
        <v>25</v>
      </c>
      <c r="K207" s="758"/>
    </row>
    <row r="208" spans="1:11" s="13" customFormat="1" ht="18" customHeight="1">
      <c r="A208" s="64"/>
      <c r="B208" s="65"/>
      <c r="C208" s="381" t="s">
        <v>301</v>
      </c>
      <c r="D208" s="65"/>
      <c r="E208" s="65"/>
      <c r="F208" s="65"/>
      <c r="G208" s="119" t="s">
        <v>307</v>
      </c>
      <c r="H208" s="333" t="str">
        <f>H179</f>
        <v/>
      </c>
      <c r="I208" s="385" t="s">
        <v>11</v>
      </c>
      <c r="J208" s="757" t="s">
        <v>25</v>
      </c>
      <c r="K208" s="758"/>
    </row>
    <row r="209" spans="1:11" s="13" customFormat="1" ht="18" customHeight="1">
      <c r="A209" s="64"/>
      <c r="B209" s="65"/>
      <c r="C209" s="381" t="s">
        <v>302</v>
      </c>
      <c r="D209" s="65"/>
      <c r="E209" s="65"/>
      <c r="F209" s="65"/>
      <c r="G209" s="119" t="s">
        <v>308</v>
      </c>
      <c r="H209" s="333" t="str">
        <f>H129</f>
        <v/>
      </c>
      <c r="I209" s="385" t="s">
        <v>11</v>
      </c>
      <c r="J209" s="757" t="s">
        <v>25</v>
      </c>
      <c r="K209" s="758"/>
    </row>
    <row r="210" spans="1:11" s="13" customFormat="1" ht="18" customHeight="1">
      <c r="A210" s="64"/>
      <c r="B210" s="65"/>
      <c r="C210" s="381" t="s">
        <v>303</v>
      </c>
      <c r="D210" s="65"/>
      <c r="E210" s="65"/>
      <c r="F210" s="65"/>
      <c r="G210" s="119" t="s">
        <v>309</v>
      </c>
      <c r="H210" s="342" t="str">
        <f>+'4.処理能力'!H61</f>
        <v/>
      </c>
      <c r="I210" s="385" t="s">
        <v>55</v>
      </c>
      <c r="J210" s="757" t="s">
        <v>48</v>
      </c>
      <c r="K210" s="758"/>
    </row>
    <row r="211" spans="1:11" s="13" customFormat="1" ht="18" customHeight="1">
      <c r="A211" s="64"/>
      <c r="B211" s="65"/>
      <c r="C211" s="381" t="s">
        <v>304</v>
      </c>
      <c r="D211" s="65"/>
      <c r="E211" s="65"/>
      <c r="F211" s="72"/>
      <c r="G211" s="82" t="s">
        <v>310</v>
      </c>
      <c r="H211" s="319">
        <v>10</v>
      </c>
      <c r="I211" s="393" t="s">
        <v>65</v>
      </c>
      <c r="J211" s="129"/>
      <c r="K211" s="199"/>
    </row>
    <row r="212" spans="1:11" s="13" customFormat="1" ht="18" customHeight="1">
      <c r="A212" s="64"/>
      <c r="B212" s="65"/>
      <c r="C212" s="381" t="s">
        <v>305</v>
      </c>
      <c r="D212" s="279"/>
      <c r="E212" s="279"/>
      <c r="F212" s="279"/>
      <c r="G212" s="203" t="s">
        <v>311</v>
      </c>
      <c r="H212" s="319">
        <v>100</v>
      </c>
      <c r="I212" s="393" t="s">
        <v>64</v>
      </c>
      <c r="J212" s="129"/>
      <c r="K212" s="199"/>
    </row>
    <row r="213" spans="1:11" s="13" customFormat="1" ht="18" customHeight="1">
      <c r="A213" s="64"/>
      <c r="B213" s="65"/>
      <c r="C213" s="381" t="s">
        <v>446</v>
      </c>
      <c r="D213" s="109"/>
      <c r="E213" s="386"/>
      <c r="F213" s="65"/>
      <c r="G213" s="119" t="s">
        <v>312</v>
      </c>
      <c r="H213" s="319">
        <v>1</v>
      </c>
      <c r="I213" s="387" t="s">
        <v>20</v>
      </c>
      <c r="J213" s="129"/>
      <c r="K213" s="66"/>
    </row>
    <row r="214" spans="1:11" s="13" customFormat="1" ht="18" customHeight="1">
      <c r="A214" s="64"/>
      <c r="B214" s="65"/>
      <c r="C214" s="381" t="s">
        <v>447</v>
      </c>
      <c r="D214" s="109"/>
      <c r="E214" s="109"/>
      <c r="F214" s="65"/>
      <c r="G214" s="119" t="s">
        <v>313</v>
      </c>
      <c r="H214" s="319">
        <v>1</v>
      </c>
      <c r="I214" s="168" t="s">
        <v>73</v>
      </c>
      <c r="J214" s="757"/>
      <c r="K214" s="758"/>
    </row>
    <row r="215" spans="1:11" s="13" customFormat="1" ht="7.5" customHeight="1" thickBot="1">
      <c r="A215" s="64"/>
      <c r="B215" s="276"/>
      <c r="C215" s="276"/>
      <c r="D215" s="276"/>
      <c r="E215" s="276"/>
      <c r="F215" s="121"/>
      <c r="G215" s="166"/>
      <c r="H215" s="166"/>
      <c r="I215" s="168"/>
      <c r="J215" s="387"/>
      <c r="K215" s="388"/>
    </row>
    <row r="216" spans="1:11" s="13" customFormat="1" ht="24.75" customHeight="1" thickBot="1">
      <c r="A216" s="64"/>
      <c r="B216" s="65"/>
      <c r="C216" s="381" t="s">
        <v>315</v>
      </c>
      <c r="D216" s="89"/>
      <c r="E216" s="89"/>
      <c r="F216" s="65"/>
      <c r="G216" s="204" t="s">
        <v>314</v>
      </c>
      <c r="H216" s="346" t="str">
        <f>IF(COUNTBLANK(H206:H214)=0,H213*H206+H214*H207+H209*H212/H210+H208*(H211-H212/H210),"")</f>
        <v/>
      </c>
      <c r="I216" s="385" t="s">
        <v>41</v>
      </c>
      <c r="J216" s="757" t="s">
        <v>24</v>
      </c>
      <c r="K216" s="758"/>
    </row>
    <row r="217" spans="1:11" s="13" customFormat="1" ht="9" customHeight="1">
      <c r="A217" s="64"/>
      <c r="B217" s="65"/>
      <c r="C217" s="65"/>
      <c r="D217" s="89"/>
      <c r="E217" s="89"/>
      <c r="F217" s="65"/>
      <c r="G217" s="205"/>
      <c r="H217" s="206"/>
      <c r="I217" s="385"/>
      <c r="J217" s="387"/>
      <c r="K217" s="388"/>
    </row>
    <row r="218" spans="1:11" s="13" customFormat="1" ht="18" customHeight="1">
      <c r="A218" s="64"/>
      <c r="B218" s="93"/>
      <c r="C218" s="124"/>
      <c r="D218" s="124"/>
      <c r="E218" s="124"/>
      <c r="F218" s="89"/>
      <c r="G218" s="89"/>
      <c r="H218" s="144"/>
      <c r="I218" s="387"/>
      <c r="J218" s="387"/>
      <c r="K218" s="388"/>
    </row>
    <row r="219" spans="1:11" s="13" customFormat="1" ht="18" customHeight="1">
      <c r="A219" s="64"/>
      <c r="B219" s="81" t="s">
        <v>477</v>
      </c>
      <c r="C219" s="124"/>
      <c r="D219" s="124"/>
      <c r="E219" s="124"/>
      <c r="F219" s="89"/>
      <c r="G219" s="89"/>
      <c r="H219" s="144"/>
      <c r="I219" s="387"/>
      <c r="J219" s="387"/>
      <c r="K219" s="388"/>
    </row>
    <row r="220" spans="1:11" s="13" customFormat="1" ht="20.25" customHeight="1">
      <c r="A220" s="64"/>
      <c r="B220" s="65" t="s">
        <v>176</v>
      </c>
      <c r="C220" s="65"/>
      <c r="D220" s="65"/>
      <c r="E220" s="65"/>
      <c r="F220" s="65"/>
      <c r="G220" s="65"/>
      <c r="H220" s="65"/>
      <c r="I220" s="65"/>
      <c r="J220" s="65"/>
      <c r="K220" s="66"/>
    </row>
    <row r="221" spans="1:11" s="13" customFormat="1" ht="18.75" customHeight="1">
      <c r="A221" s="64"/>
      <c r="B221" s="65"/>
      <c r="C221" s="65"/>
      <c r="D221" s="65"/>
      <c r="E221" s="65"/>
      <c r="F221" s="65"/>
      <c r="G221" s="65"/>
      <c r="H221" s="65"/>
      <c r="I221" s="65"/>
      <c r="J221" s="65"/>
      <c r="K221" s="66"/>
    </row>
    <row r="222" spans="1:11" s="13" customFormat="1" ht="18.75" customHeight="1">
      <c r="A222" s="64"/>
      <c r="B222" s="65"/>
      <c r="C222" s="65"/>
      <c r="D222" s="65"/>
      <c r="E222" s="65"/>
      <c r="F222" s="65"/>
      <c r="G222" s="65"/>
      <c r="H222" s="65"/>
      <c r="I222" s="65"/>
      <c r="J222" s="65"/>
      <c r="K222" s="66"/>
    </row>
    <row r="223" spans="1:11" s="13" customFormat="1" ht="8.25" customHeight="1">
      <c r="A223" s="64"/>
      <c r="B223" s="65"/>
      <c r="C223" s="65"/>
      <c r="D223" s="65"/>
      <c r="E223" s="65"/>
      <c r="F223" s="65"/>
      <c r="G223" s="65"/>
      <c r="H223" s="65"/>
      <c r="I223" s="65"/>
      <c r="J223" s="65"/>
      <c r="K223" s="66"/>
    </row>
    <row r="224" spans="1:11" s="13" customFormat="1" ht="18.75" customHeight="1">
      <c r="A224" s="64"/>
      <c r="B224" s="65"/>
      <c r="C224" s="65" t="s">
        <v>501</v>
      </c>
      <c r="D224" s="65"/>
      <c r="E224" s="65"/>
      <c r="F224" s="65"/>
      <c r="G224" s="119" t="s">
        <v>316</v>
      </c>
      <c r="H224" s="333" t="str">
        <f>H44</f>
        <v/>
      </c>
      <c r="I224" s="385" t="s">
        <v>54</v>
      </c>
      <c r="J224" s="757" t="s">
        <v>25</v>
      </c>
      <c r="K224" s="758"/>
    </row>
    <row r="225" spans="1:11" s="13" customFormat="1" ht="18.75" customHeight="1">
      <c r="A225" s="64"/>
      <c r="B225" s="65"/>
      <c r="C225" s="65" t="s">
        <v>502</v>
      </c>
      <c r="D225" s="65"/>
      <c r="E225" s="65"/>
      <c r="F225" s="65"/>
      <c r="G225" s="119" t="s">
        <v>276</v>
      </c>
      <c r="H225" s="333" t="str">
        <f>H114</f>
        <v/>
      </c>
      <c r="I225" s="385" t="s">
        <v>54</v>
      </c>
      <c r="J225" s="757" t="s">
        <v>25</v>
      </c>
      <c r="K225" s="758"/>
    </row>
    <row r="226" spans="1:11" s="13" customFormat="1" ht="18.75" customHeight="1">
      <c r="A226" s="64"/>
      <c r="B226" s="65"/>
      <c r="C226" s="65" t="s">
        <v>503</v>
      </c>
      <c r="D226" s="65"/>
      <c r="E226" s="65"/>
      <c r="F226" s="65"/>
      <c r="G226" s="119" t="s">
        <v>297</v>
      </c>
      <c r="H226" s="333" t="str">
        <f>H191</f>
        <v/>
      </c>
      <c r="I226" s="385" t="s">
        <v>11</v>
      </c>
      <c r="J226" s="757" t="s">
        <v>25</v>
      </c>
      <c r="K226" s="758"/>
    </row>
    <row r="227" spans="1:11" s="13" customFormat="1" ht="18.75" customHeight="1">
      <c r="A227" s="64"/>
      <c r="B227" s="65"/>
      <c r="C227" s="65" t="s">
        <v>504</v>
      </c>
      <c r="D227" s="65"/>
      <c r="E227" s="65"/>
      <c r="F227" s="65"/>
      <c r="G227" s="119" t="s">
        <v>317</v>
      </c>
      <c r="H227" s="333" t="str">
        <f>H144</f>
        <v/>
      </c>
      <c r="I227" s="385" t="s">
        <v>11</v>
      </c>
      <c r="J227" s="757" t="s">
        <v>25</v>
      </c>
      <c r="K227" s="758"/>
    </row>
    <row r="228" spans="1:11" s="13" customFormat="1" ht="18.75" customHeight="1">
      <c r="A228" s="64"/>
      <c r="B228" s="65"/>
      <c r="C228" s="65" t="s">
        <v>303</v>
      </c>
      <c r="D228" s="65"/>
      <c r="E228" s="65"/>
      <c r="F228" s="65"/>
      <c r="G228" s="119" t="s">
        <v>309</v>
      </c>
      <c r="H228" s="342" t="str">
        <f>+'4.処理能力'!H61</f>
        <v/>
      </c>
      <c r="I228" s="385" t="s">
        <v>55</v>
      </c>
      <c r="J228" s="757" t="s">
        <v>48</v>
      </c>
      <c r="K228" s="758"/>
    </row>
    <row r="229" spans="1:11" s="13" customFormat="1" ht="18.75" customHeight="1">
      <c r="A229" s="64"/>
      <c r="B229" s="65"/>
      <c r="C229" s="65" t="s">
        <v>304</v>
      </c>
      <c r="D229" s="65"/>
      <c r="E229" s="65"/>
      <c r="F229" s="72"/>
      <c r="G229" s="82" t="s">
        <v>310</v>
      </c>
      <c r="H229" s="319">
        <v>10</v>
      </c>
      <c r="I229" s="393" t="s">
        <v>65</v>
      </c>
      <c r="J229" s="129"/>
      <c r="K229" s="199"/>
    </row>
    <row r="230" spans="1:11" s="13" customFormat="1" ht="18.75" customHeight="1">
      <c r="A230" s="64"/>
      <c r="B230" s="65"/>
      <c r="C230" s="381" t="s">
        <v>305</v>
      </c>
      <c r="D230" s="279"/>
      <c r="E230" s="279"/>
      <c r="F230" s="279"/>
      <c r="G230" s="203" t="s">
        <v>311</v>
      </c>
      <c r="H230" s="319">
        <v>100</v>
      </c>
      <c r="I230" s="393" t="s">
        <v>64</v>
      </c>
      <c r="J230" s="129"/>
      <c r="K230" s="199"/>
    </row>
    <row r="231" spans="1:11" s="13" customFormat="1" ht="18.75" customHeight="1">
      <c r="A231" s="64"/>
      <c r="B231" s="65"/>
      <c r="C231" s="381" t="s">
        <v>446</v>
      </c>
      <c r="D231" s="109"/>
      <c r="E231" s="386"/>
      <c r="F231" s="65"/>
      <c r="G231" s="119" t="s">
        <v>318</v>
      </c>
      <c r="H231" s="319">
        <v>1</v>
      </c>
      <c r="I231" s="387" t="s">
        <v>20</v>
      </c>
      <c r="J231" s="129"/>
      <c r="K231" s="66"/>
    </row>
    <row r="232" spans="1:11" s="13" customFormat="1" ht="18.75" customHeight="1">
      <c r="A232" s="64"/>
      <c r="B232" s="65"/>
      <c r="C232" s="381" t="s">
        <v>448</v>
      </c>
      <c r="D232" s="109"/>
      <c r="E232" s="109"/>
      <c r="F232" s="65"/>
      <c r="G232" s="119" t="s">
        <v>319</v>
      </c>
      <c r="H232" s="319">
        <v>1</v>
      </c>
      <c r="I232" s="168" t="s">
        <v>73</v>
      </c>
      <c r="J232" s="757"/>
      <c r="K232" s="758"/>
    </row>
    <row r="233" spans="1:11" s="13" customFormat="1" ht="17.25" customHeight="1">
      <c r="A233" s="64"/>
      <c r="B233" s="109"/>
      <c r="C233" s="109"/>
      <c r="D233" s="109"/>
      <c r="E233" s="109"/>
      <c r="F233" s="121"/>
      <c r="G233" s="166"/>
      <c r="H233" s="166"/>
      <c r="I233" s="168"/>
      <c r="J233" s="387"/>
      <c r="K233" s="388"/>
    </row>
    <row r="234" spans="1:11" s="13" customFormat="1" ht="7.5" customHeight="1" thickBot="1">
      <c r="A234" s="64"/>
      <c r="B234" s="276"/>
      <c r="C234" s="276"/>
      <c r="D234" s="276"/>
      <c r="E234" s="276"/>
      <c r="F234" s="121"/>
      <c r="G234" s="166"/>
      <c r="H234" s="166"/>
      <c r="I234" s="168"/>
      <c r="J234" s="387"/>
      <c r="K234" s="388"/>
    </row>
    <row r="235" spans="1:11" s="13" customFormat="1" ht="28.5" customHeight="1" thickBot="1">
      <c r="A235" s="64"/>
      <c r="B235" s="65"/>
      <c r="C235" s="65" t="s">
        <v>505</v>
      </c>
      <c r="D235" s="89"/>
      <c r="E235" s="89"/>
      <c r="F235" s="65"/>
      <c r="G235" s="204" t="s">
        <v>320</v>
      </c>
      <c r="H235" s="346" t="str">
        <f>IF(COUNTBLANK(H224:H232)=0,H231*H224+H232*H225+H227*H230/H228+H226*(H229-H230/H228),"")</f>
        <v/>
      </c>
      <c r="I235" s="385" t="s">
        <v>41</v>
      </c>
      <c r="J235" s="757" t="s">
        <v>24</v>
      </c>
      <c r="K235" s="758"/>
    </row>
    <row r="236" spans="1:11" s="13" customFormat="1" ht="28.5" customHeight="1">
      <c r="A236" s="64"/>
      <c r="B236" s="65"/>
      <c r="C236" s="65"/>
      <c r="D236" s="89"/>
      <c r="E236" s="89"/>
      <c r="F236" s="65"/>
      <c r="G236" s="205"/>
      <c r="H236" s="206"/>
      <c r="I236" s="385"/>
      <c r="J236" s="387"/>
      <c r="K236" s="388"/>
    </row>
    <row r="237" spans="1:11" s="13" customFormat="1" ht="18.75" customHeight="1">
      <c r="A237" s="64"/>
      <c r="B237" s="65"/>
      <c r="C237" s="65"/>
      <c r="D237" s="65"/>
      <c r="E237" s="65"/>
      <c r="F237" s="65"/>
      <c r="G237" s="65"/>
      <c r="H237" s="65"/>
      <c r="I237" s="65"/>
      <c r="J237" s="65"/>
      <c r="K237" s="66"/>
    </row>
    <row r="238" spans="1:11" s="13" customFormat="1" ht="18.75" customHeight="1">
      <c r="A238" s="64"/>
      <c r="B238" s="65"/>
      <c r="C238" s="65"/>
      <c r="D238" s="65"/>
      <c r="E238" s="65"/>
      <c r="F238" s="65"/>
      <c r="G238" s="65"/>
      <c r="H238" s="65"/>
      <c r="I238" s="65"/>
      <c r="J238" s="65"/>
      <c r="K238" s="66"/>
    </row>
    <row r="239" spans="1:11" s="13" customFormat="1" ht="18.75" customHeight="1" thickBot="1">
      <c r="A239" s="110"/>
      <c r="B239" s="96"/>
      <c r="C239" s="96"/>
      <c r="D239" s="96"/>
      <c r="E239" s="96"/>
      <c r="F239" s="96"/>
      <c r="G239" s="96"/>
      <c r="H239" s="96"/>
      <c r="I239" s="96"/>
      <c r="J239" s="96"/>
      <c r="K239" s="102"/>
    </row>
    <row r="240" spans="1:11" s="13" customFormat="1" ht="18.75" customHeight="1">
      <c r="A240" s="274"/>
      <c r="B240" s="274"/>
      <c r="C240" s="274"/>
      <c r="D240" s="274"/>
      <c r="E240" s="274"/>
      <c r="F240" s="274"/>
      <c r="G240" s="274"/>
      <c r="H240" s="274"/>
      <c r="I240" s="274"/>
      <c r="J240" s="274"/>
      <c r="K240" s="274"/>
    </row>
    <row r="241" spans="1:11" s="29" customFormat="1" ht="19.149999999999999" customHeight="1">
      <c r="A241" s="72"/>
      <c r="B241" s="72"/>
      <c r="C241" s="72"/>
      <c r="D241" s="72"/>
      <c r="E241" s="72"/>
      <c r="F241" s="72"/>
      <c r="G241" s="72"/>
      <c r="H241" s="72"/>
      <c r="I241" s="72"/>
      <c r="J241" s="72"/>
      <c r="K241" s="72"/>
    </row>
    <row r="242" spans="1:11" ht="8.4499999999999993" customHeight="1"/>
  </sheetData>
  <sheetProtection password="CC9A" sheet="1" objects="1" scenarios="1" formatCells="0" formatRows="0" insertRows="0" deleteRows="0"/>
  <mergeCells count="124">
    <mergeCell ref="J37:K37"/>
    <mergeCell ref="J42:K42"/>
    <mergeCell ref="J39:K39"/>
    <mergeCell ref="J46:K46"/>
    <mergeCell ref="C56:J57"/>
    <mergeCell ref="A49:K49"/>
    <mergeCell ref="B50:H50"/>
    <mergeCell ref="I50:K50"/>
    <mergeCell ref="B51:F51"/>
    <mergeCell ref="H51:K51"/>
    <mergeCell ref="J79:K79"/>
    <mergeCell ref="B52:C53"/>
    <mergeCell ref="E52:F53"/>
    <mergeCell ref="H52:H53"/>
    <mergeCell ref="J52:J53"/>
    <mergeCell ref="A94:K94"/>
    <mergeCell ref="B95:H95"/>
    <mergeCell ref="I95:K95"/>
    <mergeCell ref="J67:K67"/>
    <mergeCell ref="J69:K69"/>
    <mergeCell ref="J70:K70"/>
    <mergeCell ref="J65:K65"/>
    <mergeCell ref="J80:K80"/>
    <mergeCell ref="B81:E81"/>
    <mergeCell ref="J84:K84"/>
    <mergeCell ref="J85:K85"/>
    <mergeCell ref="J88:K88"/>
    <mergeCell ref="J90:K90"/>
    <mergeCell ref="J82:K82"/>
    <mergeCell ref="J83:K83"/>
    <mergeCell ref="I3:K3"/>
    <mergeCell ref="J17:K17"/>
    <mergeCell ref="C135:K135"/>
    <mergeCell ref="B172:G172"/>
    <mergeCell ref="J175:K175"/>
    <mergeCell ref="J81:K81"/>
    <mergeCell ref="J19:K19"/>
    <mergeCell ref="B22:D22"/>
    <mergeCell ref="J22:K22"/>
    <mergeCell ref="J24:K24"/>
    <mergeCell ref="J26:K26"/>
    <mergeCell ref="J16:K16"/>
    <mergeCell ref="J35:K35"/>
    <mergeCell ref="J5:J6"/>
    <mergeCell ref="B5:C6"/>
    <mergeCell ref="E5:F6"/>
    <mergeCell ref="J38:K38"/>
    <mergeCell ref="J13:K13"/>
    <mergeCell ref="J14:K14"/>
    <mergeCell ref="J162:K162"/>
    <mergeCell ref="C31:K31"/>
    <mergeCell ref="J15:K15"/>
    <mergeCell ref="J68:K68"/>
    <mergeCell ref="B75:G75"/>
    <mergeCell ref="J18:K18"/>
    <mergeCell ref="J112:K112"/>
    <mergeCell ref="J226:K226"/>
    <mergeCell ref="J228:K228"/>
    <mergeCell ref="A2:K2"/>
    <mergeCell ref="B4:F4"/>
    <mergeCell ref="H4:K4"/>
    <mergeCell ref="H5:H6"/>
    <mergeCell ref="J44:K44"/>
    <mergeCell ref="J107:K107"/>
    <mergeCell ref="J121:K121"/>
    <mergeCell ref="J225:K225"/>
    <mergeCell ref="J227:K227"/>
    <mergeCell ref="J191:K191"/>
    <mergeCell ref="J142:K142"/>
    <mergeCell ref="J138:K138"/>
    <mergeCell ref="J209:K209"/>
    <mergeCell ref="J210:K210"/>
    <mergeCell ref="J124:K124"/>
    <mergeCell ref="J36:K36"/>
    <mergeCell ref="J126:K126"/>
    <mergeCell ref="J139:K139"/>
    <mergeCell ref="J129:K129"/>
    <mergeCell ref="B3:H3"/>
    <mergeCell ref="J216:K216"/>
    <mergeCell ref="J177:K177"/>
    <mergeCell ref="J179:K179"/>
    <mergeCell ref="J206:K206"/>
    <mergeCell ref="B198:F198"/>
    <mergeCell ref="J164:K164"/>
    <mergeCell ref="J235:K235"/>
    <mergeCell ref="J232:K232"/>
    <mergeCell ref="J189:K189"/>
    <mergeCell ref="J186:K186"/>
    <mergeCell ref="J207:K207"/>
    <mergeCell ref="J208:K208"/>
    <mergeCell ref="J187:K187"/>
    <mergeCell ref="I197:K197"/>
    <mergeCell ref="H198:K198"/>
    <mergeCell ref="J224:K224"/>
    <mergeCell ref="J166:K166"/>
    <mergeCell ref="A196:K196"/>
    <mergeCell ref="B197:H197"/>
    <mergeCell ref="J214:K214"/>
    <mergeCell ref="D169:F169"/>
    <mergeCell ref="J165:K165"/>
    <mergeCell ref="J167:K167"/>
    <mergeCell ref="C152:J152"/>
    <mergeCell ref="B149:F149"/>
    <mergeCell ref="J141:K141"/>
    <mergeCell ref="J114:K114"/>
    <mergeCell ref="B96:F96"/>
    <mergeCell ref="H96:K96"/>
    <mergeCell ref="J161:K161"/>
    <mergeCell ref="J140:K140"/>
    <mergeCell ref="H149:K149"/>
    <mergeCell ref="A147:K147"/>
    <mergeCell ref="B148:H148"/>
    <mergeCell ref="I148:K148"/>
    <mergeCell ref="B156:E156"/>
    <mergeCell ref="J144:K144"/>
    <mergeCell ref="J105:K105"/>
    <mergeCell ref="J106:K106"/>
    <mergeCell ref="J108:K108"/>
    <mergeCell ref="C101:K101"/>
    <mergeCell ref="J125:K125"/>
    <mergeCell ref="B107:E107"/>
    <mergeCell ref="J122:K122"/>
    <mergeCell ref="J123:K123"/>
    <mergeCell ref="J109:K109"/>
  </mergeCells>
  <phoneticPr fontId="3"/>
  <conditionalFormatting sqref="H181 H193:H195">
    <cfRule type="cellIs" dxfId="7" priority="11" stopIfTrue="1" operator="greaterThan">
      <formula>0.1</formula>
    </cfRule>
  </conditionalFormatting>
  <conditionalFormatting sqref="H229 H211">
    <cfRule type="expression" dxfId="6" priority="9" stopIfTrue="1">
      <formula>$H$229&lt;&gt;10</formula>
    </cfRule>
  </conditionalFormatting>
  <conditionalFormatting sqref="H230 H212">
    <cfRule type="expression" dxfId="5" priority="8" stopIfTrue="1">
      <formula>$H$230&lt;&gt;100</formula>
    </cfRule>
  </conditionalFormatting>
  <conditionalFormatting sqref="H231 H213">
    <cfRule type="expression" dxfId="4" priority="7" stopIfTrue="1">
      <formula>$H$231&lt;&gt;1</formula>
    </cfRule>
  </conditionalFormatting>
  <conditionalFormatting sqref="H232 H214">
    <cfRule type="expression" dxfId="3" priority="6" stopIfTrue="1">
      <formula>$H$232&lt;&gt;1</formula>
    </cfRule>
  </conditionalFormatting>
  <dataValidations count="1">
    <dataValidation type="list" allowBlank="1" showInputMessage="1" showErrorMessage="1" sqref="G169 G72">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alignWithMargins="0"/>
  <rowBreaks count="4" manualBreakCount="4">
    <brk id="47" max="16383" man="1"/>
    <brk id="194" max="16383" man="1"/>
    <brk id="239" max="16383" man="1"/>
    <brk id="24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90"/>
  <sheetViews>
    <sheetView view="pageBreakPreview" zoomScaleNormal="100" zoomScaleSheetLayoutView="100" workbookViewId="0">
      <selection activeCell="H8" sqref="H8"/>
    </sheetView>
  </sheetViews>
  <sheetFormatPr defaultColWidth="9" defaultRowHeight="13.5"/>
  <cols>
    <col min="1" max="1" width="8.125" style="12" customWidth="1"/>
    <col min="2" max="2" width="5.75" style="12" customWidth="1"/>
    <col min="3" max="3" width="12.125" style="12" customWidth="1"/>
    <col min="4" max="4" width="12.25" style="12" customWidth="1"/>
    <col min="5" max="5" width="11.125" style="12" customWidth="1"/>
    <col min="6" max="6" width="10.375" style="12" customWidth="1"/>
    <col min="7" max="7" width="6.625" style="12" customWidth="1"/>
    <col min="8" max="8" width="8.625" style="12" customWidth="1"/>
    <col min="9" max="9" width="5.625" style="12" customWidth="1"/>
    <col min="10" max="10" width="5" style="12" customWidth="1"/>
    <col min="11" max="11" width="4" style="12" customWidth="1"/>
    <col min="12" max="12" width="11.875" style="12" customWidth="1"/>
    <col min="13" max="16384" width="9" style="12"/>
  </cols>
  <sheetData>
    <row r="1" spans="1:16" ht="14.25" thickBot="1">
      <c r="A1" s="107"/>
      <c r="B1" s="107"/>
      <c r="C1" s="107"/>
      <c r="D1" s="107"/>
      <c r="E1" s="107"/>
      <c r="F1" s="107"/>
      <c r="G1" s="107"/>
      <c r="H1" s="107"/>
      <c r="I1" s="107"/>
      <c r="J1" s="107"/>
      <c r="K1" s="107"/>
    </row>
    <row r="2" spans="1:16" s="13" customFormat="1" ht="18.75" customHeight="1" thickBot="1">
      <c r="A2" s="732" t="s">
        <v>171</v>
      </c>
      <c r="B2" s="733"/>
      <c r="C2" s="733"/>
      <c r="D2" s="733"/>
      <c r="E2" s="733"/>
      <c r="F2" s="733"/>
      <c r="G2" s="733"/>
      <c r="H2" s="733"/>
      <c r="I2" s="733"/>
      <c r="J2" s="733"/>
      <c r="K2" s="734"/>
    </row>
    <row r="3" spans="1:16" s="13" customFormat="1" ht="28.5" customHeight="1" thickTop="1">
      <c r="A3" s="14" t="s">
        <v>179</v>
      </c>
      <c r="B3" s="711" t="str">
        <f>+表紙!B3&amp;"　　（６．給水量または給湯量）"</f>
        <v>アンダーカウンター洗浄機、ドアタイプ洗浄機（選択してください）　　（６．給水量または給湯量）</v>
      </c>
      <c r="C3" s="712"/>
      <c r="D3" s="712"/>
      <c r="E3" s="712"/>
      <c r="F3" s="712"/>
      <c r="G3" s="712"/>
      <c r="H3" s="745"/>
      <c r="I3" s="713" t="str">
        <f>"ガス種："&amp;表紙!I11</f>
        <v>ガス種：(選択して下さい)</v>
      </c>
      <c r="J3" s="761"/>
      <c r="K3" s="714"/>
    </row>
    <row r="4" spans="1:16" s="13" customFormat="1" ht="18" customHeight="1" thickBot="1">
      <c r="A4" s="15" t="s">
        <v>378</v>
      </c>
      <c r="B4" s="720" t="str">
        <f>IF(表紙!$B$6=0,"",表紙!$B$6)</f>
        <v/>
      </c>
      <c r="C4" s="720"/>
      <c r="D4" s="721"/>
      <c r="E4" s="721"/>
      <c r="F4" s="722"/>
      <c r="G4" s="374" t="s">
        <v>3</v>
      </c>
      <c r="H4" s="725" t="str">
        <f>IF(表紙!$H$5=0,"",表紙!$H$5)</f>
        <v/>
      </c>
      <c r="I4" s="726"/>
      <c r="J4" s="726"/>
      <c r="K4" s="727"/>
    </row>
    <row r="5" spans="1:16" s="13" customFormat="1" ht="15" customHeight="1">
      <c r="A5" s="183"/>
      <c r="B5" s="65"/>
      <c r="C5" s="65"/>
      <c r="D5" s="65"/>
      <c r="E5" s="65"/>
      <c r="F5" s="65"/>
      <c r="G5" s="65"/>
      <c r="H5" s="65"/>
      <c r="I5" s="65"/>
      <c r="J5" s="65"/>
      <c r="K5" s="66"/>
    </row>
    <row r="6" spans="1:16" s="13" customFormat="1" ht="22.5" customHeight="1">
      <c r="A6" s="64"/>
      <c r="B6" s="68" t="s">
        <v>154</v>
      </c>
      <c r="C6" s="65"/>
      <c r="D6" s="65"/>
      <c r="E6" s="65"/>
      <c r="F6" s="65"/>
      <c r="G6" s="74"/>
      <c r="H6" s="65"/>
      <c r="I6" s="65"/>
      <c r="J6" s="65"/>
      <c r="K6" s="66"/>
      <c r="M6" s="18"/>
      <c r="N6" s="36"/>
    </row>
    <row r="7" spans="1:16" s="13" customFormat="1" ht="17.45" customHeight="1">
      <c r="A7" s="64"/>
      <c r="B7" s="147" t="s">
        <v>435</v>
      </c>
      <c r="C7" s="147"/>
      <c r="D7" s="147"/>
      <c r="E7" s="147"/>
      <c r="F7" s="147"/>
      <c r="G7" s="147"/>
      <c r="H7" s="147"/>
      <c r="I7" s="147"/>
      <c r="J7" s="147"/>
      <c r="K7" s="66"/>
      <c r="M7" s="18"/>
      <c r="N7" s="36"/>
    </row>
    <row r="8" spans="1:16" s="13" customFormat="1" ht="30" customHeight="1">
      <c r="A8" s="64"/>
      <c r="B8" s="65" t="s">
        <v>489</v>
      </c>
      <c r="C8" s="65"/>
      <c r="D8" s="65"/>
      <c r="E8" s="65"/>
      <c r="F8" s="65"/>
      <c r="G8" s="137" t="s">
        <v>321</v>
      </c>
      <c r="H8" s="345" t="str">
        <f>IF(+表紙!D12&lt;&gt;"",+表紙!D12,"")</f>
        <v/>
      </c>
      <c r="I8" s="129" t="s">
        <v>0</v>
      </c>
      <c r="J8" s="757" t="s">
        <v>24</v>
      </c>
      <c r="K8" s="783"/>
      <c r="M8" s="18"/>
      <c r="N8" s="36"/>
    </row>
    <row r="9" spans="1:16" s="13" customFormat="1" ht="15" customHeight="1">
      <c r="A9" s="64"/>
      <c r="B9" s="65"/>
      <c r="C9" s="65"/>
      <c r="D9" s="65"/>
      <c r="E9" s="65"/>
      <c r="F9" s="65"/>
      <c r="G9" s="161"/>
      <c r="H9" s="206"/>
      <c r="I9" s="129"/>
      <c r="J9" s="387"/>
      <c r="K9" s="388"/>
      <c r="M9" s="18"/>
      <c r="N9" s="36"/>
    </row>
    <row r="10" spans="1:16" s="13" customFormat="1" ht="22.5" customHeight="1">
      <c r="A10" s="64"/>
      <c r="B10" s="68" t="s">
        <v>78</v>
      </c>
      <c r="C10" s="65"/>
      <c r="D10" s="65"/>
      <c r="E10" s="65"/>
      <c r="F10" s="65"/>
      <c r="G10" s="65"/>
      <c r="H10" s="65"/>
      <c r="I10" s="129"/>
      <c r="J10" s="129"/>
      <c r="K10" s="66"/>
      <c r="M10" s="18"/>
      <c r="N10" s="36"/>
    </row>
    <row r="11" spans="1:16" s="13" customFormat="1" ht="15" customHeight="1">
      <c r="A11" s="64"/>
      <c r="B11" s="147" t="s">
        <v>436</v>
      </c>
      <c r="C11" s="147"/>
      <c r="D11" s="147"/>
      <c r="E11" s="147"/>
      <c r="F11" s="147"/>
      <c r="G11" s="147"/>
      <c r="H11" s="147"/>
      <c r="I11" s="147"/>
      <c r="J11" s="147"/>
      <c r="K11" s="66"/>
    </row>
    <row r="12" spans="1:16" s="13" customFormat="1" ht="30" customHeight="1">
      <c r="A12" s="64"/>
      <c r="B12" s="65" t="s">
        <v>490</v>
      </c>
      <c r="C12" s="65"/>
      <c r="D12" s="65"/>
      <c r="E12" s="65"/>
      <c r="F12" s="65"/>
      <c r="G12" s="137" t="s">
        <v>322</v>
      </c>
      <c r="H12" s="345" t="str">
        <f>IF(+表紙!C15&lt;&gt;"",ROUND(+表紙!C15,1),"")</f>
        <v/>
      </c>
      <c r="I12" s="129" t="s">
        <v>42</v>
      </c>
      <c r="J12" s="757" t="s">
        <v>24</v>
      </c>
      <c r="K12" s="758"/>
      <c r="M12" s="18"/>
    </row>
    <row r="13" spans="1:16" s="13" customFormat="1" ht="15" customHeight="1">
      <c r="A13" s="64"/>
      <c r="B13" s="65"/>
      <c r="C13" s="207"/>
      <c r="D13" s="65"/>
      <c r="E13" s="65"/>
      <c r="F13" s="65"/>
      <c r="G13" s="121"/>
      <c r="H13" s="156"/>
      <c r="I13" s="65"/>
      <c r="J13" s="65"/>
      <c r="K13" s="66"/>
      <c r="M13" s="18"/>
      <c r="N13" s="17"/>
      <c r="O13" s="17"/>
      <c r="P13" s="17"/>
    </row>
    <row r="14" spans="1:16" s="13" customFormat="1" ht="22.5" customHeight="1">
      <c r="A14" s="64"/>
      <c r="B14" s="68" t="s">
        <v>79</v>
      </c>
      <c r="C14" s="65"/>
      <c r="D14" s="65"/>
      <c r="E14" s="65"/>
      <c r="F14" s="65"/>
      <c r="G14" s="65"/>
      <c r="H14" s="65"/>
      <c r="I14" s="65"/>
      <c r="J14" s="65"/>
      <c r="K14" s="66"/>
      <c r="M14" s="17"/>
      <c r="N14" s="17"/>
      <c r="O14" s="17"/>
      <c r="P14" s="17"/>
    </row>
    <row r="15" spans="1:16" s="13" customFormat="1" ht="15" customHeight="1">
      <c r="A15" s="64"/>
      <c r="B15" s="65" t="s">
        <v>66</v>
      </c>
      <c r="C15" s="74"/>
      <c r="D15" s="138"/>
      <c r="E15" s="138"/>
      <c r="F15" s="389"/>
      <c r="G15" s="208"/>
      <c r="H15" s="65"/>
      <c r="I15" s="65"/>
      <c r="J15" s="65"/>
      <c r="K15" s="66"/>
      <c r="M15" s="18"/>
      <c r="N15" s="17"/>
      <c r="O15" s="17"/>
      <c r="P15" s="17"/>
    </row>
    <row r="16" spans="1:16" s="13" customFormat="1" ht="21" customHeight="1">
      <c r="A16" s="64"/>
      <c r="B16" s="65"/>
      <c r="C16" s="74"/>
      <c r="D16" s="74"/>
      <c r="E16" s="74"/>
      <c r="F16" s="65"/>
      <c r="G16" s="65"/>
      <c r="H16" s="65"/>
      <c r="I16" s="65"/>
      <c r="J16" s="65"/>
      <c r="K16" s="66"/>
      <c r="M16" s="17"/>
      <c r="N16" s="17"/>
      <c r="O16" s="17"/>
      <c r="P16" s="17"/>
    </row>
    <row r="17" spans="1:16" s="13" customFormat="1" ht="22.5" customHeight="1">
      <c r="A17" s="64"/>
      <c r="B17" s="384" t="s">
        <v>464</v>
      </c>
      <c r="C17" s="65"/>
      <c r="D17" s="65"/>
      <c r="E17" s="65"/>
      <c r="F17" s="65"/>
      <c r="G17" s="65"/>
      <c r="H17" s="65"/>
      <c r="I17" s="65"/>
      <c r="J17" s="65"/>
      <c r="K17" s="66"/>
      <c r="M17" s="18"/>
      <c r="N17" s="17"/>
      <c r="O17" s="17"/>
      <c r="P17" s="17"/>
    </row>
    <row r="18" spans="1:16">
      <c r="A18" s="86"/>
      <c r="B18" s="65" t="s">
        <v>155</v>
      </c>
      <c r="C18" s="107"/>
      <c r="D18" s="72"/>
      <c r="E18" s="72"/>
      <c r="F18" s="72"/>
      <c r="G18" s="72"/>
      <c r="H18" s="72"/>
      <c r="I18" s="72"/>
      <c r="J18" s="72"/>
      <c r="K18" s="101"/>
    </row>
    <row r="19" spans="1:16">
      <c r="A19" s="86"/>
      <c r="B19" s="72"/>
      <c r="C19" s="65"/>
      <c r="D19" s="72"/>
      <c r="E19" s="72"/>
      <c r="F19" s="72"/>
      <c r="G19" s="72"/>
      <c r="H19" s="72"/>
      <c r="I19" s="72"/>
      <c r="J19" s="72"/>
      <c r="K19" s="101"/>
    </row>
    <row r="20" spans="1:16" ht="19.5" customHeight="1">
      <c r="A20" s="86"/>
      <c r="B20" s="72"/>
      <c r="C20" s="65"/>
      <c r="D20" s="72"/>
      <c r="E20" s="72"/>
      <c r="F20" s="72"/>
      <c r="G20" s="72"/>
      <c r="H20" s="72"/>
      <c r="I20" s="72"/>
      <c r="J20" s="72"/>
      <c r="K20" s="101"/>
    </row>
    <row r="21" spans="1:16" s="13" customFormat="1" ht="19.5" customHeight="1">
      <c r="A21" s="64"/>
      <c r="B21" s="65" t="s">
        <v>323</v>
      </c>
      <c r="C21" s="65"/>
      <c r="D21" s="65"/>
      <c r="E21" s="65"/>
      <c r="F21" s="65"/>
      <c r="G21" s="119" t="s">
        <v>329</v>
      </c>
      <c r="H21" s="334" t="str">
        <f>+H8</f>
        <v/>
      </c>
      <c r="I21" s="387" t="s">
        <v>0</v>
      </c>
      <c r="J21" s="757" t="s">
        <v>24</v>
      </c>
      <c r="K21" s="792"/>
      <c r="M21" s="18"/>
      <c r="N21" s="17"/>
      <c r="O21" s="17"/>
      <c r="P21" s="17"/>
    </row>
    <row r="22" spans="1:16" s="13" customFormat="1" ht="19.5" customHeight="1">
      <c r="A22" s="64"/>
      <c r="B22" s="65" t="s">
        <v>324</v>
      </c>
      <c r="C22" s="65"/>
      <c r="D22" s="65"/>
      <c r="E22" s="65"/>
      <c r="F22" s="65"/>
      <c r="G22" s="119" t="s">
        <v>330</v>
      </c>
      <c r="H22" s="334" t="str">
        <f>+H12</f>
        <v/>
      </c>
      <c r="I22" s="387" t="s">
        <v>75</v>
      </c>
      <c r="J22" s="757" t="s">
        <v>24</v>
      </c>
      <c r="K22" s="792"/>
    </row>
    <row r="23" spans="1:16" s="13" customFormat="1" ht="19.5" customHeight="1">
      <c r="A23" s="64"/>
      <c r="B23" s="65" t="s">
        <v>325</v>
      </c>
      <c r="C23" s="65"/>
      <c r="D23" s="65"/>
      <c r="E23" s="65"/>
      <c r="F23" s="65"/>
      <c r="G23" s="119" t="s">
        <v>331</v>
      </c>
      <c r="H23" s="459">
        <f>+'5.エネルギー消費量'!H231</f>
        <v>1</v>
      </c>
      <c r="I23" s="387" t="s">
        <v>73</v>
      </c>
      <c r="J23" s="757"/>
      <c r="K23" s="792"/>
    </row>
    <row r="24" spans="1:16" s="13" customFormat="1" ht="19.5" customHeight="1">
      <c r="A24" s="196"/>
      <c r="B24" s="764" t="s">
        <v>326</v>
      </c>
      <c r="C24" s="764"/>
      <c r="D24" s="764"/>
      <c r="E24" s="764"/>
      <c r="F24" s="764"/>
      <c r="G24" s="119" t="s">
        <v>332</v>
      </c>
      <c r="H24" s="459">
        <f>+'5.エネルギー消費量'!H232</f>
        <v>1</v>
      </c>
      <c r="I24" s="387" t="s">
        <v>73</v>
      </c>
      <c r="J24" s="757"/>
      <c r="K24" s="792"/>
    </row>
    <row r="25" spans="1:16" s="13" customFormat="1" ht="19.5" customHeight="1">
      <c r="A25" s="64"/>
      <c r="B25" s="805" t="s">
        <v>327</v>
      </c>
      <c r="C25" s="805"/>
      <c r="D25" s="805"/>
      <c r="E25" s="805"/>
      <c r="F25" s="805"/>
      <c r="G25" s="209" t="s">
        <v>333</v>
      </c>
      <c r="H25" s="459">
        <f>+'5.エネルギー消費量'!H230</f>
        <v>100</v>
      </c>
      <c r="I25" s="387" t="s">
        <v>74</v>
      </c>
      <c r="J25" s="387"/>
      <c r="K25" s="66"/>
    </row>
    <row r="26" spans="1:16" s="13" customFormat="1" ht="7.5" customHeight="1" thickBot="1">
      <c r="A26" s="64"/>
      <c r="B26" s="65"/>
      <c r="C26" s="210"/>
      <c r="D26" s="65"/>
      <c r="E26" s="65"/>
      <c r="F26" s="65"/>
      <c r="G26" s="65"/>
      <c r="H26" s="276"/>
      <c r="I26" s="65"/>
      <c r="J26" s="65"/>
      <c r="K26" s="66"/>
    </row>
    <row r="27" spans="1:16" s="13" customFormat="1" ht="30" customHeight="1" thickBot="1">
      <c r="A27" s="64"/>
      <c r="B27" s="65" t="s">
        <v>328</v>
      </c>
      <c r="C27" s="65"/>
      <c r="D27" s="65"/>
      <c r="E27" s="65"/>
      <c r="F27" s="65"/>
      <c r="G27" s="137" t="s">
        <v>334</v>
      </c>
      <c r="H27" s="346" t="str">
        <f>IF(COUNTBLANK(H21:H25)=0,(H23+H24)*H21+H25*H22,"")</f>
        <v/>
      </c>
      <c r="I27" s="129" t="s">
        <v>1</v>
      </c>
      <c r="J27" s="757" t="s">
        <v>24</v>
      </c>
      <c r="K27" s="783"/>
    </row>
    <row r="28" spans="1:16" s="13" customFormat="1" ht="15" customHeight="1">
      <c r="A28" s="64"/>
      <c r="B28" s="65"/>
      <c r="C28" s="65"/>
      <c r="D28" s="65"/>
      <c r="E28" s="65"/>
      <c r="F28" s="65"/>
      <c r="G28" s="65"/>
      <c r="H28" s="65"/>
      <c r="I28" s="89"/>
      <c r="J28" s="65"/>
      <c r="K28" s="66"/>
    </row>
    <row r="29" spans="1:16" s="13" customFormat="1" ht="15" customHeight="1">
      <c r="A29" s="64"/>
      <c r="B29" s="65"/>
      <c r="C29" s="65"/>
      <c r="D29" s="65"/>
      <c r="E29" s="65"/>
      <c r="F29" s="65"/>
      <c r="G29" s="65"/>
      <c r="H29" s="65"/>
      <c r="I29" s="89"/>
      <c r="J29" s="65"/>
      <c r="K29" s="66"/>
    </row>
    <row r="30" spans="1:16" s="13" customFormat="1" ht="15" customHeight="1">
      <c r="A30" s="64"/>
      <c r="B30" s="65"/>
      <c r="C30" s="65"/>
      <c r="D30" s="65"/>
      <c r="E30" s="65"/>
      <c r="F30" s="65"/>
      <c r="G30" s="65"/>
      <c r="H30" s="65"/>
      <c r="I30" s="65"/>
      <c r="J30" s="65"/>
      <c r="K30" s="66"/>
    </row>
    <row r="31" spans="1:16" s="13" customFormat="1" ht="15" customHeight="1">
      <c r="A31" s="64"/>
      <c r="B31" s="65"/>
      <c r="C31" s="65"/>
      <c r="D31" s="65"/>
      <c r="E31" s="65"/>
      <c r="F31" s="65"/>
      <c r="G31" s="65"/>
      <c r="H31" s="65"/>
      <c r="I31" s="65"/>
      <c r="J31" s="65"/>
      <c r="K31" s="66"/>
    </row>
    <row r="32" spans="1:16" s="13" customFormat="1" ht="15" customHeight="1">
      <c r="A32" s="64"/>
      <c r="B32" s="65"/>
      <c r="C32" s="65"/>
      <c r="D32" s="65"/>
      <c r="E32" s="65"/>
      <c r="F32" s="65"/>
      <c r="G32" s="65"/>
      <c r="H32" s="65"/>
      <c r="I32" s="65"/>
      <c r="J32" s="65"/>
      <c r="K32" s="66"/>
    </row>
    <row r="33" spans="1:16" s="13" customFormat="1" ht="15" customHeight="1">
      <c r="A33" s="64"/>
      <c r="B33" s="65"/>
      <c r="C33" s="65"/>
      <c r="D33" s="65"/>
      <c r="E33" s="65"/>
      <c r="F33" s="65"/>
      <c r="G33" s="65"/>
      <c r="H33" s="65"/>
      <c r="I33" s="65"/>
      <c r="J33" s="65"/>
      <c r="K33" s="66"/>
    </row>
    <row r="34" spans="1:16" s="13" customFormat="1" ht="15" customHeight="1">
      <c r="A34" s="64"/>
      <c r="B34" s="65"/>
      <c r="C34" s="65"/>
      <c r="D34" s="65"/>
      <c r="E34" s="65"/>
      <c r="F34" s="65"/>
      <c r="G34" s="65"/>
      <c r="H34" s="65"/>
      <c r="I34" s="65"/>
      <c r="J34" s="65"/>
      <c r="K34" s="66"/>
    </row>
    <row r="35" spans="1:16" s="13" customFormat="1" ht="15" customHeight="1">
      <c r="A35" s="64"/>
      <c r="B35" s="65"/>
      <c r="C35" s="65"/>
      <c r="D35" s="65"/>
      <c r="E35" s="65"/>
      <c r="F35" s="65"/>
      <c r="G35" s="65"/>
      <c r="H35" s="65"/>
      <c r="I35" s="65"/>
      <c r="J35" s="65"/>
      <c r="K35" s="66"/>
    </row>
    <row r="36" spans="1:16" s="13" customFormat="1" ht="15" customHeight="1">
      <c r="A36" s="64"/>
      <c r="B36" s="65"/>
      <c r="C36" s="65"/>
      <c r="D36" s="65"/>
      <c r="E36" s="65"/>
      <c r="F36" s="65"/>
      <c r="G36" s="65"/>
      <c r="H36" s="65"/>
      <c r="I36" s="65"/>
      <c r="J36" s="65"/>
      <c r="K36" s="66"/>
    </row>
    <row r="37" spans="1:16" s="13" customFormat="1" ht="15" customHeight="1">
      <c r="A37" s="64"/>
      <c r="B37" s="65"/>
      <c r="C37" s="65"/>
      <c r="D37" s="65"/>
      <c r="E37" s="65"/>
      <c r="F37" s="65"/>
      <c r="G37" s="65"/>
      <c r="H37" s="65"/>
      <c r="I37" s="65"/>
      <c r="J37" s="65"/>
      <c r="K37" s="66"/>
    </row>
    <row r="38" spans="1:16" s="13" customFormat="1" ht="15" customHeight="1">
      <c r="A38" s="64"/>
      <c r="B38" s="65"/>
      <c r="C38" s="65"/>
      <c r="D38" s="65"/>
      <c r="E38" s="65"/>
      <c r="F38" s="65"/>
      <c r="G38" s="65"/>
      <c r="H38" s="65"/>
      <c r="I38" s="65"/>
      <c r="J38" s="65"/>
      <c r="K38" s="66"/>
    </row>
    <row r="39" spans="1:16" s="13" customFormat="1" ht="15" customHeight="1">
      <c r="A39" s="64"/>
      <c r="B39" s="65"/>
      <c r="C39" s="65"/>
      <c r="D39" s="65"/>
      <c r="E39" s="65"/>
      <c r="F39" s="65"/>
      <c r="G39" s="65"/>
      <c r="H39" s="65"/>
      <c r="I39" s="65"/>
      <c r="J39" s="65"/>
      <c r="K39" s="66"/>
    </row>
    <row r="40" spans="1:16" s="13" customFormat="1" ht="15" customHeight="1">
      <c r="A40" s="64"/>
      <c r="B40" s="65"/>
      <c r="C40" s="65"/>
      <c r="D40" s="65"/>
      <c r="E40" s="65"/>
      <c r="F40" s="65"/>
      <c r="G40" s="65"/>
      <c r="H40" s="65"/>
      <c r="I40" s="65"/>
      <c r="J40" s="65"/>
      <c r="K40" s="66"/>
    </row>
    <row r="41" spans="1:16" s="13" customFormat="1" ht="15" customHeight="1">
      <c r="A41" s="64"/>
      <c r="B41" s="65"/>
      <c r="C41" s="65"/>
      <c r="D41" s="65"/>
      <c r="E41" s="65"/>
      <c r="F41" s="65"/>
      <c r="G41" s="65"/>
      <c r="H41" s="65"/>
      <c r="I41" s="65"/>
      <c r="J41" s="65"/>
      <c r="K41" s="66"/>
    </row>
    <row r="42" spans="1:16" s="13" customFormat="1" ht="15" customHeight="1">
      <c r="A42" s="64"/>
      <c r="B42" s="65"/>
      <c r="C42" s="65"/>
      <c r="D42" s="65"/>
      <c r="E42" s="65"/>
      <c r="F42" s="65"/>
      <c r="G42" s="65"/>
      <c r="H42" s="65"/>
      <c r="I42" s="65"/>
      <c r="J42" s="65"/>
      <c r="K42" s="66"/>
    </row>
    <row r="43" spans="1:16" s="13" customFormat="1" ht="15" customHeight="1">
      <c r="A43" s="64"/>
      <c r="B43" s="65"/>
      <c r="C43" s="65"/>
      <c r="D43" s="65"/>
      <c r="E43" s="65"/>
      <c r="F43" s="65"/>
      <c r="G43" s="65"/>
      <c r="H43" s="65"/>
      <c r="I43" s="65"/>
      <c r="J43" s="65"/>
      <c r="K43" s="66"/>
      <c r="M43" s="12"/>
      <c r="N43" s="12"/>
      <c r="O43" s="12"/>
      <c r="P43" s="12"/>
    </row>
    <row r="44" spans="1:16" s="13" customFormat="1" ht="15" customHeight="1">
      <c r="A44" s="64"/>
      <c r="B44" s="65"/>
      <c r="C44" s="65"/>
      <c r="D44" s="65"/>
      <c r="E44" s="65"/>
      <c r="F44" s="65"/>
      <c r="G44" s="65"/>
      <c r="H44" s="65"/>
      <c r="I44" s="65"/>
      <c r="J44" s="65"/>
      <c r="K44" s="66"/>
      <c r="M44" s="18"/>
    </row>
    <row r="45" spans="1:16" s="13" customFormat="1" ht="15" customHeight="1">
      <c r="A45" s="64"/>
      <c r="B45" s="65"/>
      <c r="C45" s="74"/>
      <c r="D45" s="211"/>
      <c r="E45" s="211"/>
      <c r="F45" s="389"/>
      <c r="G45" s="65"/>
      <c r="H45" s="65"/>
      <c r="I45" s="65"/>
      <c r="J45" s="65"/>
      <c r="K45" s="66"/>
      <c r="M45" s="12"/>
      <c r="N45" s="12"/>
      <c r="O45" s="12"/>
      <c r="P45" s="12"/>
    </row>
    <row r="46" spans="1:16" s="13" customFormat="1" ht="23.45" customHeight="1" thickBot="1">
      <c r="A46" s="110"/>
      <c r="B46" s="96"/>
      <c r="C46" s="96"/>
      <c r="D46" s="212"/>
      <c r="E46" s="212"/>
      <c r="F46" s="96"/>
      <c r="G46" s="96"/>
      <c r="H46" s="96"/>
      <c r="I46" s="96"/>
      <c r="J46" s="96"/>
      <c r="K46" s="102"/>
    </row>
    <row r="47" spans="1:16" ht="7.9" customHeight="1"/>
    <row r="48" spans="1:16">
      <c r="M48" s="13"/>
      <c r="N48" s="13"/>
      <c r="O48" s="13"/>
      <c r="P48" s="13"/>
    </row>
    <row r="50" spans="13:16">
      <c r="M50" s="13"/>
      <c r="N50" s="13"/>
      <c r="O50" s="13"/>
      <c r="P50" s="13"/>
    </row>
    <row r="51" spans="13:16">
      <c r="M51" s="13"/>
      <c r="N51" s="13"/>
      <c r="O51" s="13"/>
      <c r="P51" s="13"/>
    </row>
    <row r="52" spans="13:16">
      <c r="M52" s="13"/>
      <c r="N52" s="13"/>
      <c r="O52" s="13"/>
      <c r="P52" s="13"/>
    </row>
    <row r="53" spans="13:16" ht="9" customHeight="1">
      <c r="M53" s="13"/>
      <c r="N53" s="13"/>
      <c r="O53" s="13"/>
      <c r="P53" s="13"/>
    </row>
    <row r="54" spans="13:16">
      <c r="M54" s="13"/>
      <c r="N54" s="13"/>
      <c r="O54" s="13"/>
      <c r="P54" s="13"/>
    </row>
    <row r="55" spans="13:16">
      <c r="M55" s="13"/>
      <c r="N55" s="13"/>
      <c r="O55" s="13"/>
      <c r="P55" s="13"/>
    </row>
    <row r="56" spans="13:16">
      <c r="M56" s="13"/>
      <c r="N56" s="13"/>
      <c r="O56" s="13"/>
      <c r="P56" s="13"/>
    </row>
    <row r="57" spans="13:16">
      <c r="M57" s="13"/>
      <c r="N57" s="13"/>
      <c r="O57" s="13"/>
      <c r="P57" s="13"/>
    </row>
    <row r="58" spans="13:16">
      <c r="M58" s="13"/>
      <c r="N58" s="13"/>
      <c r="O58" s="13"/>
      <c r="P58" s="13"/>
    </row>
    <row r="59" spans="13:16">
      <c r="M59" s="13"/>
      <c r="N59" s="13"/>
      <c r="O59" s="13"/>
      <c r="P59" s="13"/>
    </row>
    <row r="60" spans="13:16">
      <c r="M60" s="13"/>
      <c r="N60" s="13"/>
      <c r="O60" s="13"/>
      <c r="P60" s="13"/>
    </row>
    <row r="61" spans="13:16">
      <c r="M61" s="13"/>
      <c r="N61" s="13"/>
      <c r="O61" s="13"/>
      <c r="P61" s="13"/>
    </row>
    <row r="62" spans="13:16">
      <c r="M62" s="13"/>
      <c r="N62" s="13"/>
      <c r="O62" s="13"/>
      <c r="P62" s="13"/>
    </row>
    <row r="63" spans="13:16">
      <c r="M63" s="13"/>
      <c r="N63" s="13"/>
      <c r="O63" s="13"/>
      <c r="P63" s="13"/>
    </row>
    <row r="64" spans="13:16">
      <c r="M64" s="13"/>
      <c r="N64" s="13"/>
      <c r="O64" s="13"/>
      <c r="P64" s="13"/>
    </row>
    <row r="65" spans="13:16">
      <c r="M65" s="13"/>
      <c r="N65" s="13"/>
      <c r="O65" s="13"/>
      <c r="P65" s="13"/>
    </row>
    <row r="66" spans="13:16">
      <c r="M66" s="13"/>
      <c r="N66" s="13"/>
      <c r="O66" s="13"/>
      <c r="P66" s="13"/>
    </row>
    <row r="67" spans="13:16">
      <c r="M67" s="13"/>
      <c r="N67" s="13"/>
      <c r="O67" s="13"/>
      <c r="P67" s="13"/>
    </row>
    <row r="68" spans="13:16">
      <c r="M68" s="13"/>
      <c r="N68" s="13"/>
      <c r="O68" s="13"/>
      <c r="P68" s="13"/>
    </row>
    <row r="69" spans="13:16">
      <c r="M69" s="13"/>
      <c r="N69" s="13"/>
      <c r="O69" s="13"/>
      <c r="P69" s="13"/>
    </row>
    <row r="70" spans="13:16">
      <c r="M70" s="13"/>
      <c r="N70" s="13"/>
      <c r="O70" s="13"/>
      <c r="P70" s="13"/>
    </row>
    <row r="71" spans="13:16">
      <c r="M71" s="13"/>
      <c r="N71" s="13"/>
      <c r="O71" s="13"/>
      <c r="P71" s="13"/>
    </row>
    <row r="72" spans="13:16">
      <c r="M72" s="13"/>
      <c r="N72" s="13"/>
      <c r="O72" s="13"/>
      <c r="P72" s="13"/>
    </row>
    <row r="73" spans="13:16">
      <c r="M73" s="13"/>
      <c r="N73" s="13"/>
      <c r="O73" s="13"/>
      <c r="P73" s="13"/>
    </row>
    <row r="74" spans="13:16">
      <c r="M74" s="13"/>
      <c r="N74" s="13"/>
      <c r="O74" s="13"/>
      <c r="P74" s="13"/>
    </row>
    <row r="75" spans="13:16">
      <c r="M75" s="13"/>
      <c r="N75" s="13"/>
      <c r="O75" s="13"/>
      <c r="P75" s="13"/>
    </row>
    <row r="76" spans="13:16">
      <c r="M76" s="13"/>
      <c r="N76" s="13"/>
      <c r="O76" s="13"/>
      <c r="P76" s="13"/>
    </row>
    <row r="77" spans="13:16">
      <c r="M77" s="13"/>
      <c r="N77" s="13"/>
      <c r="O77" s="13"/>
      <c r="P77" s="13"/>
    </row>
    <row r="78" spans="13:16">
      <c r="M78" s="13"/>
      <c r="N78" s="13"/>
      <c r="O78" s="13"/>
      <c r="P78" s="13"/>
    </row>
    <row r="79" spans="13:16">
      <c r="M79" s="13"/>
      <c r="N79" s="13"/>
      <c r="O79" s="13"/>
      <c r="P79" s="13"/>
    </row>
    <row r="80" spans="13:16">
      <c r="M80" s="13"/>
      <c r="N80" s="13"/>
      <c r="O80" s="13"/>
      <c r="P80" s="13"/>
    </row>
    <row r="81" spans="13:16">
      <c r="M81" s="13"/>
      <c r="N81" s="13"/>
      <c r="O81" s="13"/>
      <c r="P81" s="13"/>
    </row>
    <row r="82" spans="13:16">
      <c r="M82" s="13"/>
      <c r="N82" s="13"/>
      <c r="O82" s="13"/>
      <c r="P82" s="13"/>
    </row>
    <row r="83" spans="13:16">
      <c r="M83" s="13"/>
      <c r="N83" s="13"/>
      <c r="O83" s="13"/>
      <c r="P83" s="13"/>
    </row>
    <row r="84" spans="13:16">
      <c r="M84" s="13"/>
      <c r="N84" s="13"/>
      <c r="O84" s="13"/>
      <c r="P84" s="13"/>
    </row>
    <row r="85" spans="13:16">
      <c r="M85" s="13"/>
      <c r="N85" s="13"/>
      <c r="O85" s="13"/>
      <c r="P85" s="13"/>
    </row>
    <row r="86" spans="13:16">
      <c r="M86" s="13"/>
      <c r="N86" s="13"/>
      <c r="O86" s="13"/>
      <c r="P86" s="13"/>
    </row>
    <row r="87" spans="13:16">
      <c r="M87" s="13"/>
      <c r="N87" s="13"/>
      <c r="O87" s="13"/>
      <c r="P87" s="13"/>
    </row>
    <row r="88" spans="13:16">
      <c r="M88" s="13"/>
      <c r="N88" s="13"/>
      <c r="O88" s="13"/>
      <c r="P88" s="13"/>
    </row>
    <row r="89" spans="13:16">
      <c r="M89" s="13"/>
      <c r="N89" s="13"/>
      <c r="O89" s="13"/>
      <c r="P89" s="13"/>
    </row>
    <row r="90" spans="13:16">
      <c r="M90" s="13"/>
      <c r="N90" s="13"/>
      <c r="O90" s="13"/>
      <c r="P90" s="13"/>
    </row>
  </sheetData>
  <sheetProtection password="CC9A" sheet="1" objects="1" scenarios="1" formatCells="0" formatRows="0" insertRows="0" deleteRows="0"/>
  <mergeCells count="14">
    <mergeCell ref="J27:K27"/>
    <mergeCell ref="J24:K24"/>
    <mergeCell ref="J21:K21"/>
    <mergeCell ref="J22:K22"/>
    <mergeCell ref="B25:F25"/>
    <mergeCell ref="J23:K23"/>
    <mergeCell ref="A2:K2"/>
    <mergeCell ref="B4:F4"/>
    <mergeCell ref="H4:K4"/>
    <mergeCell ref="B24:F24"/>
    <mergeCell ref="B3:H3"/>
    <mergeCell ref="I3:K3"/>
    <mergeCell ref="J8:K8"/>
    <mergeCell ref="J12:K12"/>
  </mergeCells>
  <phoneticPr fontId="3"/>
  <conditionalFormatting sqref="H23">
    <cfRule type="expression" dxfId="2" priority="3" stopIfTrue="1">
      <formula>$H$23&lt;&gt;1</formula>
    </cfRule>
  </conditionalFormatting>
  <conditionalFormatting sqref="H24">
    <cfRule type="expression" dxfId="1" priority="2" stopIfTrue="1">
      <formula>$H$24&lt;&gt;1</formula>
    </cfRule>
  </conditionalFormatting>
  <conditionalFormatting sqref="H25">
    <cfRule type="expression" dxfId="0" priority="1" stopIfTrue="1">
      <formula>$H$25&lt;&gt;100</formula>
    </cfRule>
  </conditionalFormatting>
  <pageMargins left="0.78740157480314965" right="0.51181102362204722" top="0.59055118110236227" bottom="0.59055118110236227" header="0.19685039370078741" footer="0.19685039370078741"/>
  <pageSetup paperSize="9" fitToHeight="0" orientation="portrait" r:id="rId1"/>
  <headerFooter alignWithMargins="0"/>
  <rowBreaks count="2" manualBreakCount="2">
    <brk id="47" max="16383" man="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1.定格エネルギー消費量</vt:lpstr>
      <vt:lpstr>3.立上り性能A</vt:lpstr>
      <vt:lpstr>3.立上り性能B</vt:lpstr>
      <vt:lpstr>3.立上り性能C</vt:lpstr>
      <vt:lpstr>4.処理能力</vt:lpstr>
      <vt:lpstr>5.エネルギー消費量</vt:lpstr>
      <vt:lpstr>6.給水量または給湯量</vt:lpstr>
      <vt:lpstr>'1.定格エネルギー消費量'!Print_Area</vt:lpstr>
      <vt:lpstr>'3.立上り性能A'!Print_Area</vt:lpstr>
      <vt:lpstr>'3.立上り性能B'!Print_Area</vt:lpstr>
      <vt:lpstr>'3.立上り性能C'!Print_Area</vt:lpstr>
      <vt:lpstr>'4.処理能力'!Print_Area</vt:lpstr>
      <vt:lpstr>'5.エネルギー消費量'!Print_Area</vt:lpstr>
      <vt:lpstr>'6.給水量または給湯量'!Print_Area</vt:lpstr>
      <vt:lpstr>表紙!Print_Area</vt:lpstr>
      <vt:lpstr>エネ給水温</vt:lpstr>
      <vt:lpstr>エネ給湯温</vt:lpstr>
      <vt:lpstr>エネ空水温</vt:lpstr>
      <vt:lpstr>給水温</vt:lpstr>
      <vt:lpstr>給湯温</vt:lpstr>
      <vt:lpstr>空水温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2016-02-10T13:09:04Z</dcterms:created>
  <dcterms:modified xsi:type="dcterms:W3CDTF">2017-03-29T00:15:42Z</dcterms:modified>
</cp:coreProperties>
</file>